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S12" i="1"/>
  <c r="R12"/>
  <c r="P12"/>
  <c r="Q12"/>
  <c r="N12"/>
  <c r="M35"/>
  <c r="N35"/>
  <c r="O35"/>
  <c r="P35"/>
  <c r="Q86"/>
  <c r="R86" s="1"/>
  <c r="S86" s="1"/>
  <c r="T86" s="1"/>
  <c r="U86" s="1"/>
  <c r="V86" s="1"/>
  <c r="W86" s="1"/>
  <c r="X86" s="1"/>
  <c r="Y86" s="1"/>
  <c r="Z86" s="1"/>
  <c r="N85"/>
  <c r="M85"/>
  <c r="L85"/>
  <c r="T83"/>
  <c r="U83" s="1"/>
  <c r="V83" s="1"/>
  <c r="W83" s="1"/>
  <c r="X83" s="1"/>
  <c r="Y83" s="1"/>
  <c r="Z83" s="1"/>
  <c r="N79"/>
  <c r="O79" s="1"/>
  <c r="P79" s="1"/>
  <c r="Q79" s="1"/>
  <c r="R79" s="1"/>
  <c r="S79" s="1"/>
  <c r="T79" s="1"/>
  <c r="U79" s="1"/>
  <c r="V79" s="1"/>
  <c r="W79" s="1"/>
  <c r="X79" s="1"/>
  <c r="Y79" s="1"/>
  <c r="Z79" s="1"/>
  <c r="U78"/>
  <c r="V78" s="1"/>
  <c r="W78" s="1"/>
  <c r="X78" s="1"/>
  <c r="Y78" s="1"/>
  <c r="Z78" s="1"/>
  <c r="S78"/>
  <c r="Q77"/>
  <c r="M76"/>
  <c r="U75"/>
  <c r="V75" s="1"/>
  <c r="W75" s="1"/>
  <c r="X75" s="1"/>
  <c r="Y75" s="1"/>
  <c r="Z75" s="1"/>
  <c r="Y72"/>
  <c r="Z70"/>
  <c r="Y70"/>
  <c r="X70"/>
  <c r="W70"/>
  <c r="V70"/>
  <c r="U70"/>
  <c r="T70"/>
  <c r="S70"/>
  <c r="R70"/>
  <c r="Q70"/>
  <c r="M70"/>
  <c r="M71" s="1"/>
  <c r="L70"/>
  <c r="O69"/>
  <c r="O70" s="1"/>
  <c r="P68"/>
  <c r="N68"/>
  <c r="N70" s="1"/>
  <c r="Z66"/>
  <c r="Y66"/>
  <c r="X66"/>
  <c r="W66"/>
  <c r="V66"/>
  <c r="U66"/>
  <c r="T66"/>
  <c r="S66"/>
  <c r="R66"/>
  <c r="Q66"/>
  <c r="P66"/>
  <c r="N66"/>
  <c r="M66"/>
  <c r="L66"/>
  <c r="L67" s="1"/>
  <c r="L65"/>
  <c r="O64"/>
  <c r="O66" s="1"/>
  <c r="N61"/>
  <c r="N65" s="1"/>
  <c r="Q58"/>
  <c r="R58" s="1"/>
  <c r="S58" s="1"/>
  <c r="T58" s="1"/>
  <c r="U58" s="1"/>
  <c r="V58" s="1"/>
  <c r="W58" s="1"/>
  <c r="X58" s="1"/>
  <c r="Y58" s="1"/>
  <c r="Z58" s="1"/>
  <c r="V57"/>
  <c r="Q57"/>
  <c r="R57" s="1"/>
  <c r="Q55"/>
  <c r="R55" s="1"/>
  <c r="S55" s="1"/>
  <c r="T55" s="1"/>
  <c r="U55" s="1"/>
  <c r="V55" s="1"/>
  <c r="W55" s="1"/>
  <c r="X55" s="1"/>
  <c r="Y55" s="1"/>
  <c r="Z55" s="1"/>
  <c r="Q54"/>
  <c r="R54" s="1"/>
  <c r="S54" s="1"/>
  <c r="T54" s="1"/>
  <c r="U54" s="1"/>
  <c r="V54" s="1"/>
  <c r="W54" s="1"/>
  <c r="X54" s="1"/>
  <c r="Y54" s="1"/>
  <c r="Z54" s="1"/>
  <c r="Q53"/>
  <c r="R53" s="1"/>
  <c r="S53" s="1"/>
  <c r="T53" s="1"/>
  <c r="U53" s="1"/>
  <c r="V53" s="1"/>
  <c r="W53" s="1"/>
  <c r="X53" s="1"/>
  <c r="Y53" s="1"/>
  <c r="Z53" s="1"/>
  <c r="X52"/>
  <c r="Y52" s="1"/>
  <c r="Z52" s="1"/>
  <c r="U52"/>
  <c r="V52" s="1"/>
  <c r="Q52"/>
  <c r="R52" s="1"/>
  <c r="S52" s="1"/>
  <c r="Q50"/>
  <c r="R50" s="1"/>
  <c r="S50" s="1"/>
  <c r="T50" s="1"/>
  <c r="U50" s="1"/>
  <c r="V50" s="1"/>
  <c r="W50" s="1"/>
  <c r="X50" s="1"/>
  <c r="Y50" s="1"/>
  <c r="Z50" s="1"/>
  <c r="Q49"/>
  <c r="R49" s="1"/>
  <c r="S49" s="1"/>
  <c r="T49" s="1"/>
  <c r="U49" s="1"/>
  <c r="V49" s="1"/>
  <c r="W49" s="1"/>
  <c r="X49" s="1"/>
  <c r="Y49" s="1"/>
  <c r="Z49" s="1"/>
  <c r="P48"/>
  <c r="O48"/>
  <c r="L48"/>
  <c r="Q47"/>
  <c r="R47" s="1"/>
  <c r="S47" s="1"/>
  <c r="T47" s="1"/>
  <c r="N48"/>
  <c r="Q45"/>
  <c r="R45" s="1"/>
  <c r="S45" s="1"/>
  <c r="T45" s="1"/>
  <c r="U45" s="1"/>
  <c r="V45" s="1"/>
  <c r="W45" s="1"/>
  <c r="X45" s="1"/>
  <c r="Y45" s="1"/>
  <c r="Z45" s="1"/>
  <c r="N40"/>
  <c r="O40" s="1"/>
  <c r="P40" s="1"/>
  <c r="Q40" s="1"/>
  <c r="R40" s="1"/>
  <c r="S40" s="1"/>
  <c r="T40" s="1"/>
  <c r="U40" s="1"/>
  <c r="V40" s="1"/>
  <c r="W40" s="1"/>
  <c r="X40" s="1"/>
  <c r="Y40" s="1"/>
  <c r="Z40" s="1"/>
  <c r="N39"/>
  <c r="O39" s="1"/>
  <c r="P39" s="1"/>
  <c r="Q39" s="1"/>
  <c r="R39" s="1"/>
  <c r="S39" s="1"/>
  <c r="T39" s="1"/>
  <c r="U39" s="1"/>
  <c r="V39" s="1"/>
  <c r="W39" s="1"/>
  <c r="X39" s="1"/>
  <c r="Y39" s="1"/>
  <c r="Z39" s="1"/>
  <c r="O38"/>
  <c r="P38" s="1"/>
  <c r="Q38" s="1"/>
  <c r="R38" s="1"/>
  <c r="S38" s="1"/>
  <c r="T38" s="1"/>
  <c r="U38" s="1"/>
  <c r="V38" s="1"/>
  <c r="W38" s="1"/>
  <c r="X38" s="1"/>
  <c r="Y38" s="1"/>
  <c r="Z38" s="1"/>
  <c r="Z37"/>
  <c r="Q37"/>
  <c r="Z36"/>
  <c r="Z34"/>
  <c r="Q34"/>
  <c r="Q35" s="1"/>
  <c r="U29"/>
  <c r="V29" s="1"/>
  <c r="W29" s="1"/>
  <c r="X29" s="1"/>
  <c r="Y29" s="1"/>
  <c r="Z29" s="1"/>
  <c r="P29"/>
  <c r="Q29" s="1"/>
  <c r="R29" s="1"/>
  <c r="S29" s="1"/>
  <c r="Q28"/>
  <c r="R28" s="1"/>
  <c r="S28" s="1"/>
  <c r="T28" s="1"/>
  <c r="U28" s="1"/>
  <c r="V28" s="1"/>
  <c r="W28" s="1"/>
  <c r="X28" s="1"/>
  <c r="Y28" s="1"/>
  <c r="Z28" s="1"/>
  <c r="Q26"/>
  <c r="R26" s="1"/>
  <c r="S26" s="1"/>
  <c r="T26" s="1"/>
  <c r="U26" s="1"/>
  <c r="V26" s="1"/>
  <c r="W26" s="1"/>
  <c r="X26" s="1"/>
  <c r="Y26" s="1"/>
  <c r="Z26" s="1"/>
  <c r="N25"/>
  <c r="O25" s="1"/>
  <c r="P25" s="1"/>
  <c r="R23"/>
  <c r="S23" s="1"/>
  <c r="T23" s="1"/>
  <c r="U23" s="1"/>
  <c r="V23" s="1"/>
  <c r="W23" s="1"/>
  <c r="X23" s="1"/>
  <c r="Y23" s="1"/>
  <c r="Q22"/>
  <c r="R22" s="1"/>
  <c r="S22" s="1"/>
  <c r="T22" s="1"/>
  <c r="U22" s="1"/>
  <c r="V22" s="1"/>
  <c r="W22" s="1"/>
  <c r="X22" s="1"/>
  <c r="Y22" s="1"/>
  <c r="Z22" s="1"/>
  <c r="Q21"/>
  <c r="P20"/>
  <c r="O20"/>
  <c r="N20"/>
  <c r="M20"/>
  <c r="L20"/>
  <c r="W19"/>
  <c r="X19" s="1"/>
  <c r="Y19" s="1"/>
  <c r="Z19" s="1"/>
  <c r="V19"/>
  <c r="U19"/>
  <c r="O19"/>
  <c r="P19" s="1"/>
  <c r="Q19" s="1"/>
  <c r="R19" s="1"/>
  <c r="S19" s="1"/>
  <c r="T19" s="1"/>
  <c r="M13"/>
  <c r="L13"/>
  <c r="O12"/>
  <c r="O13" s="1"/>
  <c r="O11"/>
  <c r="P11" s="1"/>
  <c r="Q11" s="1"/>
  <c r="R11" s="1"/>
  <c r="S11" s="1"/>
  <c r="T11" s="1"/>
  <c r="U11" s="1"/>
  <c r="V11" s="1"/>
  <c r="W11" s="1"/>
  <c r="X11" s="1"/>
  <c r="Y11" s="1"/>
  <c r="Z11" s="1"/>
  <c r="P85" l="1"/>
  <c r="O61"/>
  <c r="O67" s="1"/>
  <c r="N63"/>
  <c r="O85"/>
  <c r="N67"/>
  <c r="N71"/>
  <c r="P69"/>
  <c r="P70" s="1"/>
  <c r="Q36"/>
  <c r="R34"/>
  <c r="R35" s="1"/>
  <c r="P61"/>
  <c r="P67" s="1"/>
  <c r="R77"/>
  <c r="O71"/>
  <c r="R37"/>
  <c r="Z85"/>
  <c r="N13"/>
  <c r="U47"/>
  <c r="O65"/>
  <c r="S84"/>
  <c r="O63" l="1"/>
  <c r="T84"/>
  <c r="P13"/>
  <c r="S77"/>
  <c r="P65"/>
  <c r="P63"/>
  <c r="Q61"/>
  <c r="S34"/>
  <c r="S35" s="1"/>
  <c r="Q85"/>
  <c r="V47"/>
  <c r="S37"/>
  <c r="R36"/>
  <c r="P71"/>
  <c r="T37" l="1"/>
  <c r="S83"/>
  <c r="S85" s="1"/>
  <c r="R85"/>
  <c r="T34"/>
  <c r="T35" s="1"/>
  <c r="Q65"/>
  <c r="Q63"/>
  <c r="R61"/>
  <c r="Q60"/>
  <c r="Q13" s="1"/>
  <c r="Q67"/>
  <c r="Q71"/>
  <c r="T77"/>
  <c r="W47"/>
  <c r="T85"/>
  <c r="U84"/>
  <c r="S36"/>
  <c r="R60" l="1"/>
  <c r="R65"/>
  <c r="R63"/>
  <c r="S61"/>
  <c r="R67"/>
  <c r="R71"/>
  <c r="U85"/>
  <c r="V84"/>
  <c r="X47"/>
  <c r="R13"/>
  <c r="U77"/>
  <c r="Q20"/>
  <c r="Q48"/>
  <c r="T36"/>
  <c r="U34"/>
  <c r="U35" s="1"/>
  <c r="U37"/>
  <c r="V37" l="1"/>
  <c r="U36"/>
  <c r="V34"/>
  <c r="V35" s="1"/>
  <c r="V77"/>
  <c r="V85"/>
  <c r="W84"/>
  <c r="R20"/>
  <c r="R48"/>
  <c r="T12"/>
  <c r="Y47"/>
  <c r="S65"/>
  <c r="S63"/>
  <c r="T61"/>
  <c r="S60"/>
  <c r="S13" s="1"/>
  <c r="S67"/>
  <c r="S71"/>
  <c r="S20" l="1"/>
  <c r="S48"/>
  <c r="Z47"/>
  <c r="U12"/>
  <c r="W85"/>
  <c r="X84"/>
  <c r="W77"/>
  <c r="V36"/>
  <c r="W34"/>
  <c r="W35" s="1"/>
  <c r="W37"/>
  <c r="T60"/>
  <c r="T13" s="1"/>
  <c r="T65"/>
  <c r="T63"/>
  <c r="U61"/>
  <c r="T71"/>
  <c r="T67"/>
  <c r="U65" l="1"/>
  <c r="U63"/>
  <c r="V61"/>
  <c r="U60"/>
  <c r="U13" s="1"/>
  <c r="U67"/>
  <c r="U71"/>
  <c r="X37"/>
  <c r="W36"/>
  <c r="X34"/>
  <c r="X35" s="1"/>
  <c r="X85"/>
  <c r="Y84"/>
  <c r="Y85" s="1"/>
  <c r="T20"/>
  <c r="T48"/>
  <c r="X77"/>
  <c r="V12"/>
  <c r="W12" l="1"/>
  <c r="Y77"/>
  <c r="X36"/>
  <c r="Y34"/>
  <c r="Y37"/>
  <c r="U20"/>
  <c r="U48"/>
  <c r="V60"/>
  <c r="V13" s="1"/>
  <c r="V65"/>
  <c r="V63"/>
  <c r="W61"/>
  <c r="V67"/>
  <c r="V71"/>
  <c r="Y35" l="1"/>
  <c r="Z35"/>
  <c r="W65"/>
  <c r="W63"/>
  <c r="X61"/>
  <c r="W60"/>
  <c r="W13" s="1"/>
  <c r="W67"/>
  <c r="W71"/>
  <c r="Y36"/>
  <c r="Z77"/>
  <c r="V20"/>
  <c r="V48"/>
  <c r="X12"/>
  <c r="Y12" l="1"/>
  <c r="W20"/>
  <c r="W48"/>
  <c r="X60"/>
  <c r="X65"/>
  <c r="X63"/>
  <c r="Y61"/>
  <c r="X71"/>
  <c r="X67"/>
  <c r="X20" l="1"/>
  <c r="X48"/>
  <c r="Z12"/>
  <c r="Y65"/>
  <c r="Y63"/>
  <c r="Z61"/>
  <c r="Y60"/>
  <c r="Y13" s="1"/>
  <c r="Y67"/>
  <c r="Y71"/>
  <c r="X13"/>
  <c r="Z60" l="1"/>
  <c r="Z13" s="1"/>
  <c r="Z65"/>
  <c r="Z63"/>
  <c r="Z67"/>
  <c r="Z71"/>
  <c r="Y20"/>
  <c r="Y48"/>
  <c r="Z20" l="1"/>
  <c r="Z48"/>
</calcChain>
</file>

<file path=xl/sharedStrings.xml><?xml version="1.0" encoding="utf-8"?>
<sst xmlns="http://schemas.openxmlformats.org/spreadsheetml/2006/main" count="240" uniqueCount="113">
  <si>
    <t>Целевые индикаторы социально-экономического развития Таврического муниципального района Омской области на период до 2030 года</t>
  </si>
  <si>
    <t>Наименование показателя</t>
  </si>
  <si>
    <t>Единица измерения</t>
  </si>
  <si>
    <t>Рекомендации</t>
  </si>
  <si>
    <t>Стратегия ОО до 2024 года</t>
  </si>
  <si>
    <t>Указ 204</t>
  </si>
  <si>
    <t>показатели СЭР ТМР</t>
  </si>
  <si>
    <t>проноз</t>
  </si>
  <si>
    <t>Программа КСЭР 2014-2016</t>
  </si>
  <si>
    <t>(факт)</t>
  </si>
  <si>
    <t>(оценка)</t>
  </si>
  <si>
    <t>Рост конкурентоспособности экономики муниципального района</t>
  </si>
  <si>
    <t>Объем отгруженных товаров собственного производства, работ (услуг), выполненные собственными силами по кругу крупных и средних организаций</t>
  </si>
  <si>
    <t xml:space="preserve">млн. рублей </t>
  </si>
  <si>
    <t>+</t>
  </si>
  <si>
    <t>Объем инвестиций в основной капитал (по кругу крупных и средних организаций)</t>
  </si>
  <si>
    <t>Объем инвестиций в основной капитал в расчете на 1 жителя</t>
  </si>
  <si>
    <t>рублей</t>
  </si>
  <si>
    <t xml:space="preserve">Количество реализованных проектов </t>
  </si>
  <si>
    <t>единиц</t>
  </si>
  <si>
    <t>Количество земельных участков, предлагаемых для реализации инвестиционных проектов</t>
  </si>
  <si>
    <t xml:space="preserve">в том числе, сформированных в текущем году </t>
  </si>
  <si>
    <t>Количество земельных участков, предлагаемых для реализации инвестиционных проектов, включенных в областной инвестиционный земельный фонд</t>
  </si>
  <si>
    <t>Количество предоставленных инвесторам земельных участков на территории Таврического района</t>
  </si>
  <si>
    <t>Оборот розничной торговли</t>
  </si>
  <si>
    <t>Число субъектов малого и среднего предпринимательства в расчете на 10 тыс. населения</t>
  </si>
  <si>
    <t>Доля  среднесписочной численности работников субъектов малого и среднего предпринимательства в среднесписочной численности работников всех организаций</t>
  </si>
  <si>
    <t>%</t>
  </si>
  <si>
    <t xml:space="preserve">Объем производства сельскохозяйственной продукции (растениеводства и животноводства) в хозяйствах всех категорий </t>
  </si>
  <si>
    <t>Валовой сбор зерна в весе после доработки</t>
  </si>
  <si>
    <t>тыс. тонн</t>
  </si>
  <si>
    <t>Урожайность зерновых культур (в весе после доработки)</t>
  </si>
  <si>
    <t>ц/га</t>
  </si>
  <si>
    <t xml:space="preserve">Производство молока </t>
  </si>
  <si>
    <t>Средний надой молока на одну корову</t>
  </si>
  <si>
    <t>кг</t>
  </si>
  <si>
    <t>Производство мяса скота и птицы</t>
  </si>
  <si>
    <t>Среднесуточный привес</t>
  </si>
  <si>
    <t>грамм</t>
  </si>
  <si>
    <t>Техническое перевооружение в сфере сельского хозяйства</t>
  </si>
  <si>
    <t>тыс. рублей</t>
  </si>
  <si>
    <t>Количество приобретенной техники</t>
  </si>
  <si>
    <t>Улучшение качества жизни населения</t>
  </si>
  <si>
    <t>Уровень среднемесячной заработной платы</t>
  </si>
  <si>
    <t>Среднемесячная номинальная заработная плата работников муниципальных общеобразовательных учреждений</t>
  </si>
  <si>
    <t>Среднемесячная номинальная заработная плата учителей муниципальных общеобразовательных организаций</t>
  </si>
  <si>
    <t>Отношение средней заработной платы работников  учреждений культуры к средней заработной плате Омской области</t>
  </si>
  <si>
    <t>Численность занятых в экономике</t>
  </si>
  <si>
    <t>тыс. человек</t>
  </si>
  <si>
    <t xml:space="preserve">    в том числе на территории Таврического муниципального района</t>
  </si>
  <si>
    <t>Уровень зарегистрированной безработицы (среднегодовой)</t>
  </si>
  <si>
    <t>общая безраб</t>
  </si>
  <si>
    <t>Уровень общей безработицы</t>
  </si>
  <si>
    <t>Количество созданных рабочих мест, единиц</t>
  </si>
  <si>
    <t>в том числе в рамках инвестиционных проектов</t>
  </si>
  <si>
    <t>Площадь земельных участков, предоставленных для строительства в расчете на 10 тыс. человек населения, - всего</t>
  </si>
  <si>
    <t>га</t>
  </si>
  <si>
    <r>
      <t>Ввод жилья в эксплуатацию</t>
    </r>
    <r>
      <rPr>
        <i/>
        <sz val="11"/>
        <color theme="1"/>
        <rFont val="Times New Roman"/>
        <family val="1"/>
        <charset val="204"/>
      </rPr>
      <t xml:space="preserve"> </t>
    </r>
  </si>
  <si>
    <t>тыс. кв.м.</t>
  </si>
  <si>
    <t>Жилищный фонд, всего</t>
  </si>
  <si>
    <t>Общая площадь жилых помещений, приходящаяся в среднем не одного жителя</t>
  </si>
  <si>
    <t xml:space="preserve">км. метров </t>
  </si>
  <si>
    <t>объем жилищн. стр-ва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</si>
  <si>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</si>
  <si>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</si>
  <si>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</si>
  <si>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</si>
  <si>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</si>
  <si>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 , в общей численности деьей в возрасте от 5 до 18 лет)</t>
  </si>
  <si>
    <t>Доля населения, систематически занимающихся физической культурой и спортом, в оющей численности населения</t>
  </si>
  <si>
    <t>Доля обучающихся, систематически занимающихся физической культурой и спортом, в общей численности обучающихся</t>
  </si>
  <si>
    <t>Количество детей, участвующих в творческих мероприятиях</t>
  </si>
  <si>
    <t>человек</t>
  </si>
  <si>
    <t>Среднегодовая численность постоянного населения</t>
  </si>
  <si>
    <t>среднегодовая</t>
  </si>
  <si>
    <t>Численность населения на конец года, человек</t>
  </si>
  <si>
    <t>Родившиеся</t>
  </si>
  <si>
    <t>Коэффициент рождаемости, на 1000 человек</t>
  </si>
  <si>
    <t>промилле</t>
  </si>
  <si>
    <t>Умершие</t>
  </si>
  <si>
    <t>Коэффициент смертности, на 1000 человек</t>
  </si>
  <si>
    <t>Естественный прирост (убыль)</t>
  </si>
  <si>
    <t>Коэффициент естественного прироста (убыли), на 1000 человек</t>
  </si>
  <si>
    <t>Прибыло</t>
  </si>
  <si>
    <t>Выбыло</t>
  </si>
  <si>
    <t>Миграционный прирост (убыль)</t>
  </si>
  <si>
    <t>Средняя продолжительность жизни населения района</t>
  </si>
  <si>
    <t>лет</t>
  </si>
  <si>
    <t>Численность подростков и молодежи, занимающихся добровольческой деятельностью</t>
  </si>
  <si>
    <t>Количество семей, получивших государственную поддержку на улучшение жилищных условий</t>
  </si>
  <si>
    <t>Протяженность построенных автомобильных дорог</t>
  </si>
  <si>
    <t xml:space="preserve">км </t>
  </si>
  <si>
    <t>Протяженность реконструируемых и отремонтированных  дорог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</si>
  <si>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</si>
  <si>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отвечающ норм. треб-ям</t>
  </si>
  <si>
    <t>Одиночное протяжение уличной водопроводной сети</t>
  </si>
  <si>
    <t>км</t>
  </si>
  <si>
    <t>Одиночное протяжение уличных газовых сетей (внутрипоселковых)</t>
  </si>
  <si>
    <t>Количество теплоисточников</t>
  </si>
  <si>
    <t>Повышение эффективности системы муниципалоьного управления</t>
  </si>
  <si>
    <t>Доходы консолидированного бюджета муниципального района</t>
  </si>
  <si>
    <t>Налоговые и неналоговые поступления</t>
  </si>
  <si>
    <t>Доля собственных доходов в общем объеме доходов</t>
  </si>
  <si>
    <t>Удовлетворенность населения деятельностью органов местного самоуправления городского округа (муниципального района)</t>
  </si>
  <si>
    <t>к Стратегии социально-экономического развития</t>
  </si>
  <si>
    <t xml:space="preserve">Таврического муниципального района Омской области </t>
  </si>
  <si>
    <t>на период до 2030 года</t>
  </si>
  <si>
    <t>Количество социальных проектов, комплексных мероприятий реализованных СОНКО на территории района</t>
  </si>
  <si>
    <t>Приложение № 2</t>
  </si>
  <si>
    <t>Доля учреждений культуры, находящихся в аварийном состоянии или требующие капитального ремонта, в общем количестве учреждений культуры</t>
  </si>
  <si>
    <t>Среднемесячная номинальная заработная плата работников муниципальных дошкольных образовательных учреждений</t>
  </si>
  <si>
    <t>Протяженность замененных тепловых сетей, замененых за год</t>
  </si>
  <si>
    <t>Количество СМП, зарегистрированных в Едином государственном реестре СМП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</si>
</sst>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_р_."/>
    <numFmt numFmtId="166" formatCode="0.00000"/>
    <numFmt numFmtId="167" formatCode="0.0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wrapText="1"/>
    </xf>
    <xf numFmtId="1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horizontal="center" vertical="top" wrapText="1"/>
    </xf>
    <xf numFmtId="166" fontId="1" fillId="0" borderId="0" xfId="0" applyNumberFormat="1" applyFont="1" applyFill="1" applyAlignment="1">
      <alignment wrapText="1"/>
    </xf>
    <xf numFmtId="167" fontId="1" fillId="0" borderId="0" xfId="0" applyNumberFormat="1" applyFont="1" applyFill="1" applyAlignment="1">
      <alignment wrapText="1"/>
    </xf>
    <xf numFmtId="1" fontId="1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5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I88"/>
  <sheetViews>
    <sheetView tabSelected="1" topLeftCell="A64" zoomScale="80" zoomScaleNormal="80" workbookViewId="0">
      <selection activeCell="AB72" sqref="AB72"/>
    </sheetView>
  </sheetViews>
  <sheetFormatPr defaultRowHeight="15"/>
  <cols>
    <col min="1" max="1" width="9.140625" style="2"/>
    <col min="2" max="2" width="5.85546875" style="2" customWidth="1"/>
    <col min="3" max="3" width="40.28515625" style="2" customWidth="1"/>
    <col min="4" max="4" width="10.42578125" style="31" customWidth="1"/>
    <col min="5" max="6" width="9.7109375" style="2" hidden="1" customWidth="1"/>
    <col min="7" max="7" width="7.85546875" style="2" hidden="1" customWidth="1"/>
    <col min="8" max="8" width="6.5703125" style="2" hidden="1" customWidth="1"/>
    <col min="9" max="9" width="6.140625" style="2" hidden="1" customWidth="1"/>
    <col min="10" max="10" width="6.5703125" style="2" hidden="1" customWidth="1"/>
    <col min="11" max="11" width="8.5703125" style="2" hidden="1" customWidth="1"/>
    <col min="12" max="12" width="10.140625" style="2" customWidth="1"/>
    <col min="13" max="13" width="9.28515625" style="2" customWidth="1"/>
    <col min="14" max="14" width="8.7109375" style="2" customWidth="1"/>
    <col min="15" max="15" width="8.140625" style="2" customWidth="1"/>
    <col min="16" max="16" width="10.140625" style="2" customWidth="1"/>
    <col min="17" max="17" width="9.140625" style="2" customWidth="1"/>
    <col min="18" max="18" width="9.5703125" style="2" customWidth="1"/>
    <col min="19" max="19" width="10.140625" style="2" customWidth="1"/>
    <col min="20" max="21" width="9.85546875" style="2" customWidth="1"/>
    <col min="22" max="23" width="9.42578125" style="2" customWidth="1"/>
    <col min="24" max="24" width="9.140625" style="2" customWidth="1"/>
    <col min="25" max="25" width="9.5703125" style="2" customWidth="1"/>
    <col min="26" max="26" width="11.28515625" style="2" customWidth="1"/>
    <col min="27" max="27" width="12.85546875" style="2" bestFit="1" customWidth="1"/>
    <col min="28" max="28" width="12.42578125" style="2" bestFit="1" customWidth="1"/>
    <col min="29" max="16384" width="9.140625" style="2"/>
  </cols>
  <sheetData>
    <row r="1" spans="2:26">
      <c r="V1" s="32"/>
      <c r="W1" s="40" t="s">
        <v>108</v>
      </c>
      <c r="X1" s="40"/>
      <c r="Y1" s="40"/>
      <c r="Z1" s="40"/>
    </row>
    <row r="2" spans="2:26" ht="15" customHeight="1">
      <c r="U2" s="40" t="s">
        <v>104</v>
      </c>
      <c r="V2" s="40"/>
      <c r="W2" s="40"/>
      <c r="X2" s="40"/>
      <c r="Y2" s="40"/>
      <c r="Z2" s="40"/>
    </row>
    <row r="3" spans="2:26" ht="15" customHeight="1">
      <c r="U3" s="40" t="s">
        <v>105</v>
      </c>
      <c r="V3" s="40"/>
      <c r="W3" s="40"/>
      <c r="X3" s="40"/>
      <c r="Y3" s="40"/>
      <c r="Z3" s="40"/>
    </row>
    <row r="4" spans="2:26" ht="15" customHeight="1">
      <c r="V4" s="40" t="s">
        <v>106</v>
      </c>
      <c r="W4" s="40"/>
      <c r="X4" s="40"/>
      <c r="Y4" s="40"/>
      <c r="Z4" s="40"/>
    </row>
    <row r="5" spans="2:26" ht="15" customHeight="1">
      <c r="V5" s="32"/>
      <c r="W5" s="32"/>
      <c r="X5" s="32"/>
      <c r="Y5" s="32"/>
      <c r="Z5" s="32"/>
    </row>
    <row r="6" spans="2:26">
      <c r="B6" s="42" t="s">
        <v>0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2:26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ht="19.5" customHeight="1">
      <c r="B8" s="43"/>
      <c r="C8" s="45" t="s">
        <v>1</v>
      </c>
      <c r="D8" s="46" t="s">
        <v>2</v>
      </c>
      <c r="E8" s="46" t="s">
        <v>3</v>
      </c>
      <c r="F8" s="46" t="s">
        <v>4</v>
      </c>
      <c r="G8" s="46" t="s">
        <v>5</v>
      </c>
      <c r="H8" s="46" t="s">
        <v>6</v>
      </c>
      <c r="I8" s="46">
        <v>607</v>
      </c>
      <c r="J8" s="46" t="s">
        <v>7</v>
      </c>
      <c r="K8" s="46" t="s">
        <v>8</v>
      </c>
      <c r="L8" s="34">
        <v>2016</v>
      </c>
      <c r="M8" s="34">
        <v>2017</v>
      </c>
      <c r="N8" s="35">
        <v>2018</v>
      </c>
      <c r="O8" s="52">
        <v>2019</v>
      </c>
      <c r="P8" s="41">
        <v>2020</v>
      </c>
      <c r="Q8" s="46">
        <v>2021</v>
      </c>
      <c r="R8" s="41">
        <v>2022</v>
      </c>
      <c r="S8" s="41">
        <v>2023</v>
      </c>
      <c r="T8" s="41">
        <v>2024</v>
      </c>
      <c r="U8" s="41">
        <v>2025</v>
      </c>
      <c r="V8" s="41">
        <v>2026</v>
      </c>
      <c r="W8" s="41">
        <v>2027</v>
      </c>
      <c r="X8" s="41">
        <v>2028</v>
      </c>
      <c r="Y8" s="41">
        <v>2029</v>
      </c>
      <c r="Z8" s="41">
        <v>2030</v>
      </c>
    </row>
    <row r="9" spans="2:26" ht="29.25" customHeight="1">
      <c r="B9" s="44"/>
      <c r="C9" s="41"/>
      <c r="D9" s="47"/>
      <c r="E9" s="47"/>
      <c r="F9" s="47"/>
      <c r="G9" s="47"/>
      <c r="H9" s="47"/>
      <c r="I9" s="47"/>
      <c r="J9" s="47"/>
      <c r="K9" s="47"/>
      <c r="L9" s="36" t="s">
        <v>9</v>
      </c>
      <c r="M9" s="37" t="s">
        <v>9</v>
      </c>
      <c r="N9" s="38" t="s">
        <v>10</v>
      </c>
      <c r="O9" s="41"/>
      <c r="P9" s="41"/>
      <c r="Q9" s="47"/>
      <c r="R9" s="41"/>
      <c r="S9" s="41"/>
      <c r="T9" s="41"/>
      <c r="U9" s="41"/>
      <c r="V9" s="41"/>
      <c r="W9" s="41"/>
      <c r="X9" s="41"/>
      <c r="Y9" s="41"/>
      <c r="Z9" s="41"/>
    </row>
    <row r="10" spans="2:26" ht="30.75" customHeight="1">
      <c r="B10" s="49" t="s">
        <v>11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1"/>
    </row>
    <row r="11" spans="2:26" ht="66" customHeight="1">
      <c r="B11" s="5">
        <v>1</v>
      </c>
      <c r="C11" s="6" t="s">
        <v>12</v>
      </c>
      <c r="D11" s="7" t="s">
        <v>13</v>
      </c>
      <c r="E11" s="7" t="s">
        <v>14</v>
      </c>
      <c r="F11" s="7"/>
      <c r="G11" s="7"/>
      <c r="H11" s="7" t="s">
        <v>14</v>
      </c>
      <c r="I11" s="7"/>
      <c r="J11" s="7" t="s">
        <v>14</v>
      </c>
      <c r="K11" s="7"/>
      <c r="L11" s="8">
        <v>5420.4</v>
      </c>
      <c r="M11" s="9">
        <v>4510.1000000000004</v>
      </c>
      <c r="N11" s="10">
        <v>4039.5</v>
      </c>
      <c r="O11" s="11">
        <f>N11+225</f>
        <v>4264.5</v>
      </c>
      <c r="P11" s="11">
        <f>O11+150</f>
        <v>4414.5</v>
      </c>
      <c r="Q11" s="11">
        <f t="shared" ref="Q11:R11" si="0">P11*102.4%</f>
        <v>4520.4480000000003</v>
      </c>
      <c r="R11" s="11">
        <f t="shared" si="0"/>
        <v>4628.938752</v>
      </c>
      <c r="S11" s="11">
        <f>R11*103.4%</f>
        <v>4786.3226695680005</v>
      </c>
      <c r="T11" s="11">
        <f>S11*102.84%</f>
        <v>4922.2542333837318</v>
      </c>
      <c r="U11" s="11">
        <f>T11*103.1%</f>
        <v>5074.8441146186269</v>
      </c>
      <c r="V11" s="11">
        <f>U11*106.4%</f>
        <v>5399.6341379542191</v>
      </c>
      <c r="W11" s="11">
        <f>V11*104.5%</f>
        <v>5642.6176741621584</v>
      </c>
      <c r="X11" s="11">
        <f>W11*103.4%</f>
        <v>5834.4666750836723</v>
      </c>
      <c r="Y11" s="11">
        <f>X11*102.8%</f>
        <v>5997.831741986015</v>
      </c>
      <c r="Z11" s="11">
        <f>Y11*103%</f>
        <v>6177.7666942455953</v>
      </c>
    </row>
    <row r="12" spans="2:26" ht="39.75" customHeight="1">
      <c r="B12" s="5">
        <v>2</v>
      </c>
      <c r="C12" s="12" t="s">
        <v>15</v>
      </c>
      <c r="D12" s="7" t="s">
        <v>13</v>
      </c>
      <c r="E12" s="5" t="s">
        <v>14</v>
      </c>
      <c r="F12" s="5"/>
      <c r="G12" s="5"/>
      <c r="H12" s="5" t="s">
        <v>14</v>
      </c>
      <c r="I12" s="5"/>
      <c r="J12" s="5"/>
      <c r="K12" s="5"/>
      <c r="L12" s="11">
        <v>374.2</v>
      </c>
      <c r="M12" s="11">
        <v>246.4</v>
      </c>
      <c r="N12" s="11">
        <f>M12*99%</f>
        <v>243.93600000000001</v>
      </c>
      <c r="O12" s="11">
        <f>N12*105%</f>
        <v>256.13280000000003</v>
      </c>
      <c r="P12" s="11">
        <f>O12*105%</f>
        <v>268.93944000000005</v>
      </c>
      <c r="Q12" s="11">
        <f>P12+62</f>
        <v>330.93944000000005</v>
      </c>
      <c r="R12" s="11">
        <f>Q12+75</f>
        <v>405.93944000000005</v>
      </c>
      <c r="S12" s="11">
        <f>R12+120</f>
        <v>525.9394400000001</v>
      </c>
      <c r="T12" s="11">
        <f>S12*105%</f>
        <v>552.23641200000009</v>
      </c>
      <c r="U12" s="11">
        <f>T12*106%</f>
        <v>585.37059672000009</v>
      </c>
      <c r="V12" s="11">
        <f>U12*104.7%</f>
        <v>612.88301476584002</v>
      </c>
      <c r="W12" s="11">
        <f>V12*105%</f>
        <v>643.52716550413209</v>
      </c>
      <c r="X12" s="11">
        <f>W12*104.9%</f>
        <v>675.05999661383464</v>
      </c>
      <c r="Y12" s="11">
        <f>X12*105.8%</f>
        <v>714.21347641743705</v>
      </c>
      <c r="Z12" s="11">
        <f t="shared" ref="Z12" si="1">Y12*106%</f>
        <v>757.06628500248326</v>
      </c>
    </row>
    <row r="13" spans="2:26" ht="32.25" customHeight="1">
      <c r="B13" s="5">
        <v>3</v>
      </c>
      <c r="C13" s="12" t="s">
        <v>16</v>
      </c>
      <c r="D13" s="5" t="s">
        <v>17</v>
      </c>
      <c r="E13" s="5"/>
      <c r="F13" s="5"/>
      <c r="G13" s="5"/>
      <c r="H13" s="5"/>
      <c r="I13" s="5" t="s">
        <v>14</v>
      </c>
      <c r="J13" s="5"/>
      <c r="K13" s="5"/>
      <c r="L13" s="11">
        <f t="shared" ref="L13:Z13" si="2">(L12*1000000)/(L60*1000)</f>
        <v>10452.513966480446</v>
      </c>
      <c r="M13" s="11">
        <f t="shared" si="2"/>
        <v>6940.8450704225352</v>
      </c>
      <c r="N13" s="11">
        <f t="shared" si="2"/>
        <v>6910.3682719546741</v>
      </c>
      <c r="O13" s="11">
        <f t="shared" si="2"/>
        <v>7297.2307692307704</v>
      </c>
      <c r="P13" s="11">
        <f t="shared" si="2"/>
        <v>7706.0011461318072</v>
      </c>
      <c r="Q13" s="11">
        <f t="shared" si="2"/>
        <v>9569.2298568467213</v>
      </c>
      <c r="R13" s="11">
        <f t="shared" si="2"/>
        <v>11763.903173859213</v>
      </c>
      <c r="S13" s="11">
        <f t="shared" si="2"/>
        <v>15234.153230504869</v>
      </c>
      <c r="T13" s="11">
        <f t="shared" si="2"/>
        <v>15953.117412376438</v>
      </c>
      <c r="U13" s="11">
        <f t="shared" si="2"/>
        <v>16840.977413491615</v>
      </c>
      <c r="V13" s="11">
        <f t="shared" si="2"/>
        <v>17550.202161437108</v>
      </c>
      <c r="W13" s="11">
        <f t="shared" si="2"/>
        <v>18330.865779377917</v>
      </c>
      <c r="X13" s="11">
        <f t="shared" si="2"/>
        <v>19110.137269611936</v>
      </c>
      <c r="Y13" s="11">
        <f t="shared" si="2"/>
        <v>20074.183127062141</v>
      </c>
      <c r="Z13" s="11">
        <f t="shared" si="2"/>
        <v>21116.014712631884</v>
      </c>
    </row>
    <row r="14" spans="2:26" ht="18.75" customHeight="1">
      <c r="B14" s="13">
        <v>4</v>
      </c>
      <c r="C14" s="14" t="s">
        <v>18</v>
      </c>
      <c r="D14" s="5" t="s">
        <v>19</v>
      </c>
      <c r="E14" s="15"/>
      <c r="F14" s="15"/>
      <c r="G14" s="15"/>
      <c r="H14" s="15"/>
      <c r="I14" s="15"/>
      <c r="J14" s="15"/>
      <c r="K14" s="15" t="s">
        <v>14</v>
      </c>
      <c r="L14" s="16">
        <v>13</v>
      </c>
      <c r="M14" s="16">
        <v>7</v>
      </c>
      <c r="N14" s="16">
        <v>1</v>
      </c>
      <c r="O14" s="16">
        <v>4</v>
      </c>
      <c r="P14" s="16">
        <v>2</v>
      </c>
      <c r="Q14" s="16">
        <v>3</v>
      </c>
      <c r="R14" s="16">
        <v>2</v>
      </c>
      <c r="S14" s="16">
        <v>1</v>
      </c>
      <c r="T14" s="16">
        <v>1</v>
      </c>
      <c r="U14" s="16">
        <v>2</v>
      </c>
      <c r="V14" s="16">
        <v>3</v>
      </c>
      <c r="W14" s="16">
        <v>3</v>
      </c>
      <c r="X14" s="16">
        <v>2</v>
      </c>
      <c r="Y14" s="16">
        <v>2</v>
      </c>
      <c r="Z14" s="16">
        <v>4</v>
      </c>
    </row>
    <row r="15" spans="2:26" ht="53.25" customHeight="1">
      <c r="B15" s="5">
        <v>5</v>
      </c>
      <c r="C15" s="6" t="s">
        <v>20</v>
      </c>
      <c r="D15" s="5" t="s">
        <v>19</v>
      </c>
      <c r="E15" s="15"/>
      <c r="F15" s="15"/>
      <c r="G15" s="15"/>
      <c r="H15" s="15"/>
      <c r="I15" s="15"/>
      <c r="J15" s="15"/>
      <c r="K15" s="15"/>
      <c r="L15" s="16">
        <v>34</v>
      </c>
      <c r="M15" s="16">
        <v>30</v>
      </c>
      <c r="N15" s="16">
        <v>30</v>
      </c>
      <c r="O15" s="16">
        <v>27</v>
      </c>
      <c r="P15" s="16">
        <v>25</v>
      </c>
      <c r="Q15" s="16">
        <v>22</v>
      </c>
      <c r="R15" s="16">
        <v>20</v>
      </c>
      <c r="S15" s="16">
        <v>17</v>
      </c>
      <c r="T15" s="16">
        <v>13</v>
      </c>
      <c r="U15" s="16">
        <v>11</v>
      </c>
      <c r="V15" s="16">
        <v>11</v>
      </c>
      <c r="W15" s="16">
        <v>10</v>
      </c>
      <c r="X15" s="16">
        <v>9</v>
      </c>
      <c r="Y15" s="16">
        <v>9</v>
      </c>
      <c r="Z15" s="16">
        <v>9</v>
      </c>
    </row>
    <row r="16" spans="2:26" ht="36" customHeight="1">
      <c r="B16" s="5">
        <v>6</v>
      </c>
      <c r="C16" s="6" t="s">
        <v>21</v>
      </c>
      <c r="D16" s="5" t="s">
        <v>19</v>
      </c>
      <c r="E16" s="15"/>
      <c r="F16" s="15"/>
      <c r="G16" s="15"/>
      <c r="H16" s="15"/>
      <c r="I16" s="15"/>
      <c r="J16" s="15"/>
      <c r="K16" s="15" t="s">
        <v>14</v>
      </c>
      <c r="L16" s="17">
        <v>1</v>
      </c>
      <c r="M16" s="17">
        <v>0</v>
      </c>
      <c r="N16" s="17">
        <v>0</v>
      </c>
      <c r="O16" s="17">
        <v>1</v>
      </c>
      <c r="P16" s="17">
        <v>1</v>
      </c>
      <c r="Q16" s="17">
        <v>2</v>
      </c>
      <c r="R16" s="17">
        <v>2</v>
      </c>
      <c r="S16" s="17">
        <v>1</v>
      </c>
      <c r="T16" s="17">
        <v>2</v>
      </c>
      <c r="U16" s="17">
        <v>2</v>
      </c>
      <c r="V16" s="17">
        <v>2</v>
      </c>
      <c r="W16" s="17">
        <v>2</v>
      </c>
      <c r="X16" s="17">
        <v>3</v>
      </c>
      <c r="Y16" s="17">
        <v>3</v>
      </c>
      <c r="Z16" s="17">
        <v>1</v>
      </c>
    </row>
    <row r="17" spans="2:26" ht="81.75" customHeight="1">
      <c r="B17" s="5">
        <v>7</v>
      </c>
      <c r="C17" s="6" t="s">
        <v>22</v>
      </c>
      <c r="D17" s="5" t="s">
        <v>19</v>
      </c>
      <c r="E17" s="15"/>
      <c r="F17" s="15"/>
      <c r="G17" s="15"/>
      <c r="H17" s="15"/>
      <c r="I17" s="15"/>
      <c r="J17" s="15"/>
      <c r="K17" s="15"/>
      <c r="L17" s="17">
        <v>7</v>
      </c>
      <c r="M17" s="17">
        <v>7</v>
      </c>
      <c r="N17" s="17">
        <v>7</v>
      </c>
      <c r="O17" s="17">
        <v>7</v>
      </c>
      <c r="P17" s="17">
        <v>8</v>
      </c>
      <c r="Q17" s="17">
        <v>8</v>
      </c>
      <c r="R17" s="17">
        <v>9</v>
      </c>
      <c r="S17" s="17">
        <v>9</v>
      </c>
      <c r="T17" s="17">
        <v>9</v>
      </c>
      <c r="U17" s="17">
        <v>8</v>
      </c>
      <c r="V17" s="17">
        <v>8</v>
      </c>
      <c r="W17" s="17">
        <v>8</v>
      </c>
      <c r="X17" s="17">
        <v>7</v>
      </c>
      <c r="Y17" s="17">
        <v>7</v>
      </c>
      <c r="Z17" s="17">
        <v>7</v>
      </c>
    </row>
    <row r="18" spans="2:26" ht="49.5" customHeight="1">
      <c r="B18" s="13">
        <v>8</v>
      </c>
      <c r="C18" s="14" t="s">
        <v>23</v>
      </c>
      <c r="D18" s="5" t="s">
        <v>19</v>
      </c>
      <c r="E18" s="15"/>
      <c r="F18" s="15"/>
      <c r="G18" s="15"/>
      <c r="H18" s="15"/>
      <c r="I18" s="15"/>
      <c r="J18" s="15"/>
      <c r="K18" s="15" t="s">
        <v>14</v>
      </c>
      <c r="L18" s="17">
        <v>5</v>
      </c>
      <c r="M18" s="17">
        <v>0</v>
      </c>
      <c r="N18" s="17">
        <v>3</v>
      </c>
      <c r="O18" s="17">
        <v>3</v>
      </c>
      <c r="P18" s="17">
        <v>4</v>
      </c>
      <c r="Q18" s="17">
        <v>4</v>
      </c>
      <c r="R18" s="17">
        <v>5</v>
      </c>
      <c r="S18" s="17">
        <v>5</v>
      </c>
      <c r="T18" s="17">
        <v>4</v>
      </c>
      <c r="U18" s="17">
        <v>2</v>
      </c>
      <c r="V18" s="17">
        <v>3</v>
      </c>
      <c r="W18" s="17">
        <v>3</v>
      </c>
      <c r="X18" s="17">
        <v>3</v>
      </c>
      <c r="Y18" s="17">
        <v>3</v>
      </c>
      <c r="Z18" s="17">
        <v>5</v>
      </c>
    </row>
    <row r="19" spans="2:26" ht="30">
      <c r="B19" s="5">
        <v>9</v>
      </c>
      <c r="C19" s="6" t="s">
        <v>24</v>
      </c>
      <c r="D19" s="7" t="s">
        <v>13</v>
      </c>
      <c r="E19" s="15"/>
      <c r="F19" s="15"/>
      <c r="G19" s="15"/>
      <c r="H19" s="15"/>
      <c r="I19" s="15"/>
      <c r="J19" s="15"/>
      <c r="K19" s="15"/>
      <c r="L19" s="16">
        <v>924.1</v>
      </c>
      <c r="M19" s="16">
        <v>961.7</v>
      </c>
      <c r="N19" s="16">
        <v>966.6</v>
      </c>
      <c r="O19" s="16">
        <f>N19*1.0407</f>
        <v>1005.94062</v>
      </c>
      <c r="P19" s="16">
        <f>O19*1.0415</f>
        <v>1047.6871557300001</v>
      </c>
      <c r="Q19" s="16">
        <f>P19*1.06808</f>
        <v>1119.0136972920984</v>
      </c>
      <c r="R19" s="16">
        <f>Q19*1.0977</f>
        <v>1228.3413355175362</v>
      </c>
      <c r="S19" s="16">
        <f>R19*1.0907</f>
        <v>1339.7518946489768</v>
      </c>
      <c r="T19" s="16">
        <f>S19*1.0115</f>
        <v>1355.15904143744</v>
      </c>
      <c r="U19" s="16">
        <f>L19*1.51</f>
        <v>1395.3910000000001</v>
      </c>
      <c r="V19" s="16">
        <f>M19*1.48</f>
        <v>1423.316</v>
      </c>
      <c r="W19" s="16">
        <f>N19*1.5</f>
        <v>1449.9</v>
      </c>
      <c r="X19" s="16">
        <f>W19*1.0415</f>
        <v>1510.0708500000003</v>
      </c>
      <c r="Y19" s="16">
        <f>X19*1.00907</f>
        <v>1523.7671926095002</v>
      </c>
      <c r="Z19" s="16">
        <f>Y19*1.1376</f>
        <v>1733.4375583125673</v>
      </c>
    </row>
    <row r="20" spans="2:26" ht="48" customHeight="1">
      <c r="B20" s="5">
        <v>10</v>
      </c>
      <c r="C20" s="6" t="s">
        <v>25</v>
      </c>
      <c r="D20" s="5" t="s">
        <v>19</v>
      </c>
      <c r="E20" s="5"/>
      <c r="F20" s="5"/>
      <c r="G20" s="5"/>
      <c r="H20" s="5"/>
      <c r="I20" s="5"/>
      <c r="J20" s="5"/>
      <c r="K20" s="5"/>
      <c r="L20" s="16">
        <f t="shared" ref="L20:Z20" si="3">L21/L60*10</f>
        <v>200.62849162011176</v>
      </c>
      <c r="M20" s="16">
        <f t="shared" si="3"/>
        <v>190.42253521126759</v>
      </c>
      <c r="N20" s="16">
        <f t="shared" si="3"/>
        <v>192.35127478753543</v>
      </c>
      <c r="O20" s="16">
        <f t="shared" si="3"/>
        <v>194.30199430199428</v>
      </c>
      <c r="P20" s="16">
        <f t="shared" si="3"/>
        <v>196.56160458452723</v>
      </c>
      <c r="Q20" s="16">
        <f t="shared" si="3"/>
        <v>200.6543206380974</v>
      </c>
      <c r="R20" s="16">
        <f t="shared" si="3"/>
        <v>203.14596987361725</v>
      </c>
      <c r="S20" s="16">
        <f t="shared" si="3"/>
        <v>205.65578412713168</v>
      </c>
      <c r="T20" s="16">
        <f t="shared" si="3"/>
        <v>207.41729544060345</v>
      </c>
      <c r="U20" s="16">
        <f t="shared" si="3"/>
        <v>208.58083226584887</v>
      </c>
      <c r="V20" s="16">
        <f t="shared" si="3"/>
        <v>209.03903794338217</v>
      </c>
      <c r="W20" s="16">
        <f t="shared" si="3"/>
        <v>209.364686839413</v>
      </c>
      <c r="X20" s="16">
        <f t="shared" si="3"/>
        <v>209.48510725636172</v>
      </c>
      <c r="Y20" s="16">
        <f t="shared" si="3"/>
        <v>209.39490675362688</v>
      </c>
      <c r="Z20" s="16">
        <f t="shared" si="3"/>
        <v>210.58382104527058</v>
      </c>
    </row>
    <row r="21" spans="2:26" ht="38.25" customHeight="1">
      <c r="B21" s="5">
        <v>11</v>
      </c>
      <c r="C21" s="6" t="s">
        <v>112</v>
      </c>
      <c r="D21" s="13" t="s">
        <v>19</v>
      </c>
      <c r="E21" s="5"/>
      <c r="F21" s="5"/>
      <c r="G21" s="5"/>
      <c r="H21" s="5"/>
      <c r="I21" s="5"/>
      <c r="J21" s="5"/>
      <c r="K21" s="5"/>
      <c r="L21" s="16">
        <v>718.25</v>
      </c>
      <c r="M21" s="16">
        <v>676</v>
      </c>
      <c r="N21" s="16">
        <v>679</v>
      </c>
      <c r="O21" s="16">
        <v>682</v>
      </c>
      <c r="P21" s="16">
        <v>686</v>
      </c>
      <c r="Q21" s="16">
        <f>P21*1.01157</f>
        <v>693.93702000000008</v>
      </c>
      <c r="R21" s="16">
        <v>701</v>
      </c>
      <c r="S21" s="16">
        <v>710</v>
      </c>
      <c r="T21" s="16">
        <v>718</v>
      </c>
      <c r="U21" s="16">
        <v>725</v>
      </c>
      <c r="V21" s="16">
        <v>730</v>
      </c>
      <c r="W21" s="16">
        <v>735</v>
      </c>
      <c r="X21" s="16">
        <v>740</v>
      </c>
      <c r="Y21" s="16">
        <v>745</v>
      </c>
      <c r="Z21" s="16">
        <v>755</v>
      </c>
    </row>
    <row r="22" spans="2:26" ht="63.75" customHeight="1">
      <c r="B22" s="13">
        <v>12</v>
      </c>
      <c r="C22" s="6" t="s">
        <v>26</v>
      </c>
      <c r="D22" s="5" t="s">
        <v>27</v>
      </c>
      <c r="E22" s="5"/>
      <c r="F22" s="5" t="s">
        <v>14</v>
      </c>
      <c r="G22" s="5" t="s">
        <v>14</v>
      </c>
      <c r="H22" s="5"/>
      <c r="I22" s="5" t="s">
        <v>14</v>
      </c>
      <c r="J22" s="5"/>
      <c r="K22" s="5" t="s">
        <v>14</v>
      </c>
      <c r="L22" s="17">
        <v>46.27</v>
      </c>
      <c r="M22" s="17">
        <v>45.56</v>
      </c>
      <c r="N22" s="17">
        <v>45.98</v>
      </c>
      <c r="O22" s="17">
        <v>46.66</v>
      </c>
      <c r="P22" s="17">
        <v>47.16</v>
      </c>
      <c r="Q22" s="18">
        <f>P22*1.01157449</f>
        <v>47.7058529484</v>
      </c>
      <c r="R22" s="18">
        <f>Q22*1.01056</f>
        <v>48.209626755535098</v>
      </c>
      <c r="S22" s="18">
        <f>R22*1.021</f>
        <v>49.222028917401332</v>
      </c>
      <c r="T22" s="18">
        <f>S22*1.0111</f>
        <v>49.768393438384493</v>
      </c>
      <c r="U22" s="18">
        <f>T22*1.00953</f>
        <v>50.242686227852296</v>
      </c>
      <c r="V22" s="18">
        <f>U22*1.0123</f>
        <v>50.86067126845488</v>
      </c>
      <c r="W22" s="18">
        <f>V22*1.0087</f>
        <v>51.303159108490433</v>
      </c>
      <c r="X22" s="18">
        <f>W22*1.0146</f>
        <v>52.05218523147439</v>
      </c>
      <c r="Y22" s="18">
        <f>X22*1.01167</f>
        <v>52.659634233125701</v>
      </c>
      <c r="Z22" s="18">
        <f>Y22*1.013</f>
        <v>53.34420947815633</v>
      </c>
    </row>
    <row r="23" spans="2:26" ht="64.5" customHeight="1">
      <c r="B23" s="5">
        <v>13</v>
      </c>
      <c r="C23" s="6" t="s">
        <v>28</v>
      </c>
      <c r="D23" s="7" t="s">
        <v>13</v>
      </c>
      <c r="E23" s="5" t="s">
        <v>14</v>
      </c>
      <c r="F23" s="5" t="s">
        <v>14</v>
      </c>
      <c r="G23" s="5"/>
      <c r="H23" s="5" t="s">
        <v>14</v>
      </c>
      <c r="I23" s="5"/>
      <c r="J23" s="5" t="s">
        <v>14</v>
      </c>
      <c r="K23" s="5"/>
      <c r="L23" s="11">
        <v>4113.5</v>
      </c>
      <c r="M23" s="9">
        <v>4187</v>
      </c>
      <c r="N23" s="11">
        <v>4235</v>
      </c>
      <c r="O23" s="11">
        <v>4446.8</v>
      </c>
      <c r="P23" s="11">
        <v>4678</v>
      </c>
      <c r="Q23" s="11">
        <v>4935.3</v>
      </c>
      <c r="R23" s="11">
        <f>Q23*1.02</f>
        <v>5034.0060000000003</v>
      </c>
      <c r="S23" s="11">
        <f>R23*1.02</f>
        <v>5134.6861200000003</v>
      </c>
      <c r="T23" s="11">
        <f>S23*1.0387</f>
        <v>5333.398472844</v>
      </c>
      <c r="U23" s="11">
        <f>T23*1.0189</f>
        <v>5434.1997039807511</v>
      </c>
      <c r="V23" s="11">
        <f>U23*1.01646</f>
        <v>5523.6466311082741</v>
      </c>
      <c r="W23" s="11">
        <f>V23*1.00796</f>
        <v>5567.6148582918959</v>
      </c>
      <c r="X23" s="11">
        <f>W23*1.06209</f>
        <v>5913.3080648432397</v>
      </c>
      <c r="Y23" s="11">
        <f>X23*1.02802044</f>
        <v>6079.0015586756954</v>
      </c>
      <c r="Z23" s="11">
        <v>6170</v>
      </c>
    </row>
    <row r="24" spans="2:26" ht="30">
      <c r="B24" s="5">
        <v>14</v>
      </c>
      <c r="C24" s="6" t="s">
        <v>29</v>
      </c>
      <c r="D24" s="5" t="s">
        <v>30</v>
      </c>
      <c r="E24" s="5"/>
      <c r="F24" s="5"/>
      <c r="G24" s="5"/>
      <c r="H24" s="5" t="s">
        <v>14</v>
      </c>
      <c r="I24" s="5"/>
      <c r="J24" s="5"/>
      <c r="K24" s="5" t="s">
        <v>14</v>
      </c>
      <c r="L24" s="11">
        <v>218.2</v>
      </c>
      <c r="M24" s="11">
        <v>226.9</v>
      </c>
      <c r="N24" s="11">
        <v>219.5</v>
      </c>
      <c r="O24" s="11">
        <v>220</v>
      </c>
      <c r="P24" s="11">
        <v>224.2</v>
      </c>
      <c r="Q24" s="11">
        <v>225.3</v>
      </c>
      <c r="R24" s="11">
        <v>227.2</v>
      </c>
      <c r="S24" s="11">
        <v>230.6</v>
      </c>
      <c r="T24" s="11">
        <v>232.5</v>
      </c>
      <c r="U24" s="11">
        <v>235.9</v>
      </c>
      <c r="V24" s="11">
        <v>238.3</v>
      </c>
      <c r="W24" s="11">
        <v>241.5</v>
      </c>
      <c r="X24" s="11">
        <v>244.1</v>
      </c>
      <c r="Y24" s="11">
        <v>246.9</v>
      </c>
      <c r="Z24" s="11">
        <v>250</v>
      </c>
    </row>
    <row r="25" spans="2:26" ht="30">
      <c r="B25" s="5">
        <v>15</v>
      </c>
      <c r="C25" s="6" t="s">
        <v>31</v>
      </c>
      <c r="D25" s="5" t="s">
        <v>32</v>
      </c>
      <c r="E25" s="5"/>
      <c r="F25" s="5"/>
      <c r="G25" s="5"/>
      <c r="H25" s="5"/>
      <c r="I25" s="5"/>
      <c r="J25" s="5"/>
      <c r="K25" s="5" t="s">
        <v>14</v>
      </c>
      <c r="L25" s="17">
        <v>15.4</v>
      </c>
      <c r="M25" s="17">
        <v>15.9</v>
      </c>
      <c r="N25" s="11">
        <f>M25*1.0213</f>
        <v>16.238670000000003</v>
      </c>
      <c r="O25" s="11">
        <f>N25*1.0694</f>
        <v>17.365633698</v>
      </c>
      <c r="P25" s="11">
        <f>O25*1.03247</f>
        <v>17.929495824174062</v>
      </c>
      <c r="Q25" s="11">
        <v>18</v>
      </c>
      <c r="R25" s="11">
        <v>18.5</v>
      </c>
      <c r="S25" s="11">
        <v>18.7</v>
      </c>
      <c r="T25" s="11">
        <v>18.899999999999999</v>
      </c>
      <c r="U25" s="11">
        <v>19</v>
      </c>
      <c r="V25" s="11">
        <v>19.3</v>
      </c>
      <c r="W25" s="11">
        <v>19.5</v>
      </c>
      <c r="X25" s="11">
        <v>19.600000000000001</v>
      </c>
      <c r="Y25" s="11">
        <v>19.8</v>
      </c>
      <c r="Z25" s="11">
        <v>20</v>
      </c>
    </row>
    <row r="26" spans="2:26" ht="19.5" customHeight="1">
      <c r="B26" s="13">
        <v>16</v>
      </c>
      <c r="C26" s="6" t="s">
        <v>33</v>
      </c>
      <c r="D26" s="5" t="s">
        <v>30</v>
      </c>
      <c r="E26" s="5"/>
      <c r="F26" s="5"/>
      <c r="G26" s="5"/>
      <c r="H26" s="5"/>
      <c r="I26" s="5"/>
      <c r="J26" s="5"/>
      <c r="K26" s="5" t="s">
        <v>14</v>
      </c>
      <c r="L26" s="18">
        <v>31.6</v>
      </c>
      <c r="M26" s="18">
        <v>29.9</v>
      </c>
      <c r="N26" s="18">
        <v>31.312999999999999</v>
      </c>
      <c r="O26" s="18">
        <v>31.440999999999999</v>
      </c>
      <c r="P26" s="18">
        <v>31.57</v>
      </c>
      <c r="Q26" s="18">
        <f>P26+0.135</f>
        <v>31.705000000000002</v>
      </c>
      <c r="R26" s="18">
        <f>Q26+7</f>
        <v>38.704999999999998</v>
      </c>
      <c r="S26" s="18">
        <f>R26*1.00451299</f>
        <v>38.87967527795</v>
      </c>
      <c r="T26" s="18">
        <f>S26*1.01</f>
        <v>39.268472030729498</v>
      </c>
      <c r="U26" s="18">
        <f>T26*1.0245</f>
        <v>40.230549595482373</v>
      </c>
      <c r="V26" s="18">
        <f>U26*1.00199</f>
        <v>40.310608389177382</v>
      </c>
      <c r="W26" s="18">
        <f>V26*1.0028</f>
        <v>40.423478092667075</v>
      </c>
      <c r="X26" s="18">
        <f>W26*1.0032</f>
        <v>40.552833222563613</v>
      </c>
      <c r="Y26" s="18">
        <f>X26*1.0043</f>
        <v>40.727210405420635</v>
      </c>
      <c r="Z26" s="18">
        <f t="shared" ref="Z26" si="4">Y26*1.00408776</f>
        <v>40.893693467027497</v>
      </c>
    </row>
    <row r="27" spans="2:26" ht="19.5" customHeight="1">
      <c r="B27" s="5">
        <v>17</v>
      </c>
      <c r="C27" s="6" t="s">
        <v>34</v>
      </c>
      <c r="D27" s="5" t="s">
        <v>35</v>
      </c>
      <c r="E27" s="5"/>
      <c r="F27" s="5"/>
      <c r="G27" s="5"/>
      <c r="H27" s="5"/>
      <c r="I27" s="5" t="s">
        <v>14</v>
      </c>
      <c r="J27" s="5"/>
      <c r="K27" s="5"/>
      <c r="L27" s="17">
        <v>5277</v>
      </c>
      <c r="M27" s="16">
        <v>5891</v>
      </c>
      <c r="N27" s="16">
        <v>5924</v>
      </c>
      <c r="O27" s="16">
        <v>5950</v>
      </c>
      <c r="P27" s="16">
        <v>6100</v>
      </c>
      <c r="Q27" s="16">
        <v>6127</v>
      </c>
      <c r="R27" s="16">
        <v>6187</v>
      </c>
      <c r="S27" s="16">
        <v>6205</v>
      </c>
      <c r="T27" s="16">
        <v>6245</v>
      </c>
      <c r="U27" s="16">
        <v>6300</v>
      </c>
      <c r="V27" s="16">
        <v>6340</v>
      </c>
      <c r="W27" s="16">
        <v>6400</v>
      </c>
      <c r="X27" s="16">
        <v>6438</v>
      </c>
      <c r="Y27" s="16">
        <v>6479</v>
      </c>
      <c r="Z27" s="16">
        <v>6500</v>
      </c>
    </row>
    <row r="28" spans="2:26" ht="18.75" customHeight="1">
      <c r="B28" s="5">
        <v>18</v>
      </c>
      <c r="C28" s="19" t="s">
        <v>36</v>
      </c>
      <c r="D28" s="5" t="s">
        <v>30</v>
      </c>
      <c r="E28" s="5"/>
      <c r="F28" s="5"/>
      <c r="G28" s="5"/>
      <c r="H28" s="5"/>
      <c r="I28" s="5"/>
      <c r="J28" s="5"/>
      <c r="K28" s="5"/>
      <c r="L28" s="18">
        <v>4.3</v>
      </c>
      <c r="M28" s="18">
        <v>3.6</v>
      </c>
      <c r="N28" s="18">
        <v>4.3440000000000003</v>
      </c>
      <c r="O28" s="18">
        <v>4.3609999999999998</v>
      </c>
      <c r="P28" s="18">
        <v>4.3780000000000001</v>
      </c>
      <c r="Q28" s="18">
        <f>P28*1.00389819</f>
        <v>4.3950662758199996</v>
      </c>
      <c r="R28" s="18">
        <f>Q28+0.2</f>
        <v>4.5950662758199998</v>
      </c>
      <c r="S28" s="18">
        <f>R28*1.0038</f>
        <v>4.6125275276681164</v>
      </c>
      <c r="T28" s="18">
        <f>S28*1.0038</f>
        <v>4.630055132273255</v>
      </c>
      <c r="U28" s="18">
        <f>T28*1.0037</f>
        <v>4.6471863362626662</v>
      </c>
      <c r="V28" s="18">
        <f>U28*1.0037</f>
        <v>4.6643809257068378</v>
      </c>
      <c r="W28" s="18">
        <f>V28*1.0036</f>
        <v>4.6811726970393828</v>
      </c>
      <c r="X28" s="18">
        <f>W28*1.0036</f>
        <v>4.6980249187487244</v>
      </c>
      <c r="Y28" s="18">
        <f>X28*1.0036</f>
        <v>4.7149378084562201</v>
      </c>
      <c r="Z28" s="18">
        <f>Y28*1.0035</f>
        <v>4.7314400907858172</v>
      </c>
    </row>
    <row r="29" spans="2:26" ht="22.5" customHeight="1">
      <c r="B29" s="5">
        <v>19</v>
      </c>
      <c r="C29" s="6" t="s">
        <v>37</v>
      </c>
      <c r="D29" s="5" t="s">
        <v>38</v>
      </c>
      <c r="E29" s="5"/>
      <c r="F29" s="5"/>
      <c r="G29" s="5"/>
      <c r="H29" s="5"/>
      <c r="I29" s="5"/>
      <c r="J29" s="5"/>
      <c r="K29" s="5"/>
      <c r="L29" s="17">
        <v>580</v>
      </c>
      <c r="M29" s="17">
        <v>583</v>
      </c>
      <c r="N29" s="17">
        <v>586</v>
      </c>
      <c r="O29" s="16">
        <v>590</v>
      </c>
      <c r="P29" s="16">
        <f t="shared" ref="P29:Z29" si="5">O29*1.00515911</f>
        <v>593.04387489999999</v>
      </c>
      <c r="Q29" s="16">
        <f t="shared" si="5"/>
        <v>596.10345348543524</v>
      </c>
      <c r="R29" s="16">
        <f t="shared" si="5"/>
        <v>599.1788167733464</v>
      </c>
      <c r="S29" s="16">
        <f t="shared" si="5"/>
        <v>602.27004619874992</v>
      </c>
      <c r="T29" s="16">
        <v>606</v>
      </c>
      <c r="U29" s="16">
        <f t="shared" si="5"/>
        <v>609.12642065999989</v>
      </c>
      <c r="V29" s="16">
        <f t="shared" si="5"/>
        <v>612.26897086809106</v>
      </c>
      <c r="W29" s="16">
        <f t="shared" si="5"/>
        <v>615.4277338383863</v>
      </c>
      <c r="X29" s="16">
        <f t="shared" si="5"/>
        <v>618.60279321430926</v>
      </c>
      <c r="Y29" s="16">
        <f t="shared" si="5"/>
        <v>621.79423307080913</v>
      </c>
      <c r="Z29" s="16">
        <f t="shared" si="5"/>
        <v>625.002137916587</v>
      </c>
    </row>
    <row r="30" spans="2:26" ht="36.75" customHeight="1">
      <c r="B30" s="13">
        <v>20</v>
      </c>
      <c r="C30" s="6" t="s">
        <v>39</v>
      </c>
      <c r="D30" s="5" t="s">
        <v>40</v>
      </c>
      <c r="E30" s="5"/>
      <c r="F30" s="5"/>
      <c r="G30" s="5"/>
      <c r="H30" s="5"/>
      <c r="I30" s="5"/>
      <c r="J30" s="5"/>
      <c r="K30" s="5"/>
      <c r="L30" s="20">
        <v>99355</v>
      </c>
      <c r="M30" s="20">
        <v>100000</v>
      </c>
      <c r="N30" s="20">
        <v>139000</v>
      </c>
      <c r="O30" s="20">
        <v>120000</v>
      </c>
      <c r="P30" s="20">
        <v>120000</v>
      </c>
      <c r="Q30" s="20">
        <v>100000</v>
      </c>
      <c r="R30" s="20">
        <v>100000</v>
      </c>
      <c r="S30" s="20">
        <v>120000</v>
      </c>
      <c r="T30" s="20">
        <v>120000</v>
      </c>
      <c r="U30" s="20">
        <v>100000</v>
      </c>
      <c r="V30" s="20">
        <v>100000</v>
      </c>
      <c r="W30" s="20">
        <v>120000</v>
      </c>
      <c r="X30" s="20">
        <v>120000</v>
      </c>
      <c r="Y30" s="20">
        <v>120000</v>
      </c>
      <c r="Z30" s="20">
        <v>120000</v>
      </c>
    </row>
    <row r="31" spans="2:26" ht="21.75" customHeight="1">
      <c r="B31" s="5">
        <v>21</v>
      </c>
      <c r="C31" s="12" t="s">
        <v>41</v>
      </c>
      <c r="D31" s="5" t="s">
        <v>19</v>
      </c>
      <c r="E31" s="5"/>
      <c r="F31" s="5"/>
      <c r="G31" s="5"/>
      <c r="H31" s="5"/>
      <c r="I31" s="5"/>
      <c r="J31" s="5"/>
      <c r="K31" s="5"/>
      <c r="L31" s="17">
        <v>84</v>
      </c>
      <c r="M31" s="17">
        <v>92</v>
      </c>
      <c r="N31" s="17">
        <v>128</v>
      </c>
      <c r="O31" s="17">
        <v>110</v>
      </c>
      <c r="P31" s="17">
        <v>110</v>
      </c>
      <c r="Q31" s="17">
        <v>92</v>
      </c>
      <c r="R31" s="17">
        <v>92</v>
      </c>
      <c r="S31" s="17">
        <v>110</v>
      </c>
      <c r="T31" s="17">
        <v>110</v>
      </c>
      <c r="U31" s="17">
        <v>92</v>
      </c>
      <c r="V31" s="17">
        <v>92</v>
      </c>
      <c r="W31" s="17">
        <v>110</v>
      </c>
      <c r="X31" s="17">
        <v>110</v>
      </c>
      <c r="Y31" s="17">
        <v>110</v>
      </c>
      <c r="Z31" s="17">
        <v>110</v>
      </c>
    </row>
    <row r="32" spans="2:26" ht="33" customHeight="1">
      <c r="B32" s="49" t="s">
        <v>42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1"/>
    </row>
    <row r="33" spans="2:26" ht="36.75" customHeight="1">
      <c r="B33" s="13">
        <v>22</v>
      </c>
      <c r="C33" s="6" t="s">
        <v>43</v>
      </c>
      <c r="D33" s="13" t="s">
        <v>17</v>
      </c>
      <c r="E33" s="5" t="s">
        <v>14</v>
      </c>
      <c r="F33" s="5"/>
      <c r="G33" s="5"/>
      <c r="H33" s="5" t="s">
        <v>14</v>
      </c>
      <c r="I33" s="5"/>
      <c r="J33" s="5" t="s">
        <v>14</v>
      </c>
      <c r="K33" s="5"/>
      <c r="L33" s="16">
        <v>21172.400000000001</v>
      </c>
      <c r="M33" s="16">
        <v>22509</v>
      </c>
      <c r="N33" s="16">
        <v>23860</v>
      </c>
      <c r="O33" s="16">
        <v>25200</v>
      </c>
      <c r="P33" s="16">
        <v>26600</v>
      </c>
      <c r="Q33" s="16">
        <v>27980</v>
      </c>
      <c r="R33" s="16">
        <v>28630</v>
      </c>
      <c r="S33" s="16">
        <v>30285</v>
      </c>
      <c r="T33" s="16">
        <v>32021</v>
      </c>
      <c r="U33" s="16">
        <v>33850</v>
      </c>
      <c r="V33" s="16">
        <v>35781</v>
      </c>
      <c r="W33" s="16">
        <v>37650</v>
      </c>
      <c r="X33" s="16">
        <v>39860</v>
      </c>
      <c r="Y33" s="16">
        <v>42260</v>
      </c>
      <c r="Z33" s="16">
        <v>44667</v>
      </c>
    </row>
    <row r="34" spans="2:26" ht="48.75" customHeight="1">
      <c r="B34" s="5">
        <v>23</v>
      </c>
      <c r="C34" s="14" t="s">
        <v>110</v>
      </c>
      <c r="D34" s="5" t="s">
        <v>17</v>
      </c>
      <c r="E34" s="5"/>
      <c r="F34" s="5" t="s">
        <v>14</v>
      </c>
      <c r="G34" s="5"/>
      <c r="H34" s="5"/>
      <c r="I34" s="5" t="s">
        <v>17</v>
      </c>
      <c r="J34" s="5"/>
      <c r="K34" s="5"/>
      <c r="L34" s="16">
        <v>16231.2</v>
      </c>
      <c r="M34" s="16">
        <v>17069.5</v>
      </c>
      <c r="N34" s="16">
        <v>19546</v>
      </c>
      <c r="O34" s="16">
        <v>19893</v>
      </c>
      <c r="P34" s="16">
        <v>19893</v>
      </c>
      <c r="Q34" s="16">
        <f>P34*1.043</f>
        <v>20748.398999999998</v>
      </c>
      <c r="R34" s="16">
        <f>Q34*1.076</f>
        <v>22325.277323999999</v>
      </c>
      <c r="S34" s="16">
        <f>R34*1.059</f>
        <v>23642.468686115997</v>
      </c>
      <c r="T34" s="16">
        <f>S34*1.046</f>
        <v>24730.022245677334</v>
      </c>
      <c r="U34" s="16">
        <f>T34*1.068</f>
        <v>26411.663758383394</v>
      </c>
      <c r="V34" s="16">
        <f>U34*1.038</f>
        <v>27415.306981201964</v>
      </c>
      <c r="W34" s="16">
        <f>V34*1.046</f>
        <v>28676.411102337257</v>
      </c>
      <c r="X34" s="16">
        <f>W34*1.055</f>
        <v>30253.613712965805</v>
      </c>
      <c r="Y34" s="16">
        <f>X34*1.033</f>
        <v>31251.982965493673</v>
      </c>
      <c r="Z34" s="16">
        <f>L34*2</f>
        <v>32462.400000000001</v>
      </c>
    </row>
    <row r="35" spans="2:26" hidden="1">
      <c r="B35" s="13">
        <v>24</v>
      </c>
      <c r="C35" s="14"/>
      <c r="D35" s="5"/>
      <c r="E35" s="5"/>
      <c r="F35" s="5"/>
      <c r="G35" s="5"/>
      <c r="H35" s="5"/>
      <c r="I35" s="5"/>
      <c r="J35" s="5"/>
      <c r="K35" s="5"/>
      <c r="L35" s="16"/>
      <c r="M35" s="16">
        <f>M34/L34</f>
        <v>1.0516474444280151</v>
      </c>
      <c r="N35" s="16">
        <f t="shared" ref="N35:Z35" si="6">N34/M34</f>
        <v>1.1450833357743344</v>
      </c>
      <c r="O35" s="16">
        <f t="shared" si="6"/>
        <v>1.017752992939732</v>
      </c>
      <c r="P35" s="16">
        <f t="shared" si="6"/>
        <v>1</v>
      </c>
      <c r="Q35" s="16">
        <f>Q34/P34</f>
        <v>1.0429999999999999</v>
      </c>
      <c r="R35" s="16">
        <f t="shared" si="6"/>
        <v>1.0760000000000001</v>
      </c>
      <c r="S35" s="16">
        <f t="shared" si="6"/>
        <v>1.0589999999999999</v>
      </c>
      <c r="T35" s="16">
        <f t="shared" si="6"/>
        <v>1.046</v>
      </c>
      <c r="U35" s="16">
        <f>U34/T34</f>
        <v>1.0680000000000001</v>
      </c>
      <c r="V35" s="16">
        <f t="shared" si="6"/>
        <v>1.038</v>
      </c>
      <c r="W35" s="16">
        <f t="shared" si="6"/>
        <v>1.046</v>
      </c>
      <c r="X35" s="16">
        <f t="shared" si="6"/>
        <v>1.0549999999999999</v>
      </c>
      <c r="Y35" s="16">
        <f t="shared" si="6"/>
        <v>1.0329999999999999</v>
      </c>
      <c r="Z35" s="16">
        <f t="shared" si="6"/>
        <v>1.0387308874397758</v>
      </c>
    </row>
    <row r="36" spans="2:26" ht="48" customHeight="1">
      <c r="B36" s="5">
        <v>25</v>
      </c>
      <c r="C36" s="14" t="s">
        <v>44</v>
      </c>
      <c r="D36" s="5" t="s">
        <v>17</v>
      </c>
      <c r="E36" s="5"/>
      <c r="F36" s="5"/>
      <c r="G36" s="5"/>
      <c r="H36" s="5"/>
      <c r="I36" s="5"/>
      <c r="J36" s="5"/>
      <c r="K36" s="5"/>
      <c r="L36" s="16">
        <v>21190.1</v>
      </c>
      <c r="M36" s="16">
        <v>21417.200000000001</v>
      </c>
      <c r="N36" s="16">
        <v>22713</v>
      </c>
      <c r="O36" s="16">
        <v>23051</v>
      </c>
      <c r="P36" s="16">
        <v>23099</v>
      </c>
      <c r="Q36" s="16">
        <f t="shared" ref="Q36:Y36" si="7">P36*Q35</f>
        <v>24092.256999999998</v>
      </c>
      <c r="R36" s="16">
        <f t="shared" si="7"/>
        <v>25923.268531999998</v>
      </c>
      <c r="S36" s="16">
        <f t="shared" si="7"/>
        <v>27452.741375387996</v>
      </c>
      <c r="T36" s="16">
        <f t="shared" si="7"/>
        <v>28715.567478655845</v>
      </c>
      <c r="U36" s="16">
        <f t="shared" si="7"/>
        <v>30668.226067204443</v>
      </c>
      <c r="V36" s="16">
        <f t="shared" si="7"/>
        <v>31833.618657758212</v>
      </c>
      <c r="W36" s="16">
        <f t="shared" si="7"/>
        <v>33297.96511601509</v>
      </c>
      <c r="X36" s="16">
        <f t="shared" si="7"/>
        <v>35129.353197395918</v>
      </c>
      <c r="Y36" s="16">
        <f t="shared" si="7"/>
        <v>36288.621852909979</v>
      </c>
      <c r="Z36" s="16">
        <f t="shared" ref="Z36" si="8">L36*2</f>
        <v>42380.2</v>
      </c>
    </row>
    <row r="37" spans="2:26" ht="51" customHeight="1">
      <c r="B37" s="13">
        <v>26</v>
      </c>
      <c r="C37" s="14" t="s">
        <v>45</v>
      </c>
      <c r="D37" s="5" t="s">
        <v>17</v>
      </c>
      <c r="E37" s="5" t="s">
        <v>14</v>
      </c>
      <c r="F37" s="5" t="s">
        <v>14</v>
      </c>
      <c r="G37" s="5"/>
      <c r="H37" s="5"/>
      <c r="I37" s="5" t="s">
        <v>17</v>
      </c>
      <c r="J37" s="5"/>
      <c r="K37" s="5"/>
      <c r="L37" s="16">
        <v>29461.4</v>
      </c>
      <c r="M37" s="16">
        <v>29000</v>
      </c>
      <c r="N37" s="16">
        <v>29395</v>
      </c>
      <c r="O37" s="16">
        <v>29395</v>
      </c>
      <c r="P37" s="16">
        <v>29395</v>
      </c>
      <c r="Q37" s="16">
        <f>P37*1.045</f>
        <v>30717.774999999998</v>
      </c>
      <c r="R37" s="16">
        <f>Q37*1.077</f>
        <v>33083.043674999994</v>
      </c>
      <c r="S37" s="16">
        <f>R37*1.054</f>
        <v>34869.528033449991</v>
      </c>
      <c r="T37" s="16">
        <f>S37*1.065</f>
        <v>37136.047355624236</v>
      </c>
      <c r="U37" s="16">
        <f>T37*1.059</f>
        <v>39327.074149606065</v>
      </c>
      <c r="V37" s="16">
        <f>U37*1.063</f>
        <v>41804.679821031248</v>
      </c>
      <c r="W37" s="16">
        <f>V37*1.071</f>
        <v>44772.812088324463</v>
      </c>
      <c r="X37" s="16">
        <f>W37*1.088</f>
        <v>48712.819552097018</v>
      </c>
      <c r="Y37" s="16">
        <f>X37*1.06</f>
        <v>51635.588725222842</v>
      </c>
      <c r="Z37" s="16">
        <f>L37*1.9</f>
        <v>55976.66</v>
      </c>
    </row>
    <row r="38" spans="2:26" ht="52.5" customHeight="1">
      <c r="B38" s="5">
        <v>27</v>
      </c>
      <c r="C38" s="14" t="s">
        <v>46</v>
      </c>
      <c r="D38" s="5" t="s">
        <v>27</v>
      </c>
      <c r="E38" s="5" t="s">
        <v>14</v>
      </c>
      <c r="F38" s="5" t="s">
        <v>14</v>
      </c>
      <c r="G38" s="5"/>
      <c r="H38" s="5"/>
      <c r="I38" s="5" t="s">
        <v>17</v>
      </c>
      <c r="J38" s="5"/>
      <c r="K38" s="5"/>
      <c r="L38" s="16">
        <v>62</v>
      </c>
      <c r="M38" s="16">
        <v>72.3</v>
      </c>
      <c r="N38" s="16">
        <v>85.6</v>
      </c>
      <c r="O38" s="16">
        <f>N38*1.0042</f>
        <v>85.959519999999998</v>
      </c>
      <c r="P38" s="16">
        <f t="shared" ref="P38:Z38" si="9">O38*1.0042</f>
        <v>86.320549983999996</v>
      </c>
      <c r="Q38" s="16">
        <f t="shared" si="9"/>
        <v>86.683096293932792</v>
      </c>
      <c r="R38" s="16">
        <f t="shared" si="9"/>
        <v>87.047165298367304</v>
      </c>
      <c r="S38" s="16">
        <f t="shared" si="9"/>
        <v>87.412763392620448</v>
      </c>
      <c r="T38" s="16">
        <f t="shared" si="9"/>
        <v>87.779896998869447</v>
      </c>
      <c r="U38" s="16">
        <f t="shared" si="9"/>
        <v>88.14857256626469</v>
      </c>
      <c r="V38" s="16">
        <f t="shared" si="9"/>
        <v>88.518796571042998</v>
      </c>
      <c r="W38" s="16">
        <f t="shared" si="9"/>
        <v>88.890575516641377</v>
      </c>
      <c r="X38" s="16">
        <f t="shared" si="9"/>
        <v>89.263915933811262</v>
      </c>
      <c r="Y38" s="16">
        <f t="shared" si="9"/>
        <v>89.638824380733269</v>
      </c>
      <c r="Z38" s="16">
        <f t="shared" si="9"/>
        <v>90.015307443132343</v>
      </c>
    </row>
    <row r="39" spans="2:26" ht="30">
      <c r="B39" s="13">
        <v>28</v>
      </c>
      <c r="C39" s="12" t="s">
        <v>47</v>
      </c>
      <c r="D39" s="5" t="s">
        <v>48</v>
      </c>
      <c r="E39" s="5"/>
      <c r="F39" s="5"/>
      <c r="G39" s="5"/>
      <c r="H39" s="5" t="s">
        <v>14</v>
      </c>
      <c r="I39" s="5"/>
      <c r="J39" s="5"/>
      <c r="K39" s="5"/>
      <c r="L39" s="18">
        <v>19.684999999999999</v>
      </c>
      <c r="M39" s="18">
        <v>19.756</v>
      </c>
      <c r="N39" s="18">
        <f>M39*1.0048</f>
        <v>19.850828799999999</v>
      </c>
      <c r="O39" s="18">
        <f>N39*1.0052</f>
        <v>19.95405310976</v>
      </c>
      <c r="P39" s="18">
        <f>O39*1.0053</f>
        <v>20.059809591241731</v>
      </c>
      <c r="Q39" s="18">
        <f>P39*1.006</f>
        <v>20.180168448789182</v>
      </c>
      <c r="R39" s="18">
        <f>Q39*1.0059</f>
        <v>20.299231442637037</v>
      </c>
      <c r="S39" s="18">
        <f>R39*1.0062</f>
        <v>20.425086677581387</v>
      </c>
      <c r="T39" s="18">
        <f>S39*1.0061</f>
        <v>20.549679706314635</v>
      </c>
      <c r="U39" s="18">
        <f>T39*1.0054</f>
        <v>20.660647976728736</v>
      </c>
      <c r="V39" s="18">
        <f>U39*1.0072</f>
        <v>20.809404642161184</v>
      </c>
      <c r="W39" s="18">
        <f>V39*1.0071</f>
        <v>20.957151415120531</v>
      </c>
      <c r="X39" s="18">
        <f>W39*1.0049</f>
        <v>21.05984145705462</v>
      </c>
      <c r="Y39" s="18">
        <f>X39*1.0059</f>
        <v>21.184094521651243</v>
      </c>
      <c r="Z39" s="18">
        <f>Y39*1.0078</f>
        <v>21.349330458920125</v>
      </c>
    </row>
    <row r="40" spans="2:26" ht="33.75" customHeight="1">
      <c r="B40" s="5">
        <v>29</v>
      </c>
      <c r="C40" s="12" t="s">
        <v>49</v>
      </c>
      <c r="D40" s="5" t="s">
        <v>48</v>
      </c>
      <c r="E40" s="5"/>
      <c r="F40" s="5"/>
      <c r="G40" s="5"/>
      <c r="H40" s="5"/>
      <c r="I40" s="5"/>
      <c r="J40" s="5"/>
      <c r="K40" s="5"/>
      <c r="L40" s="18">
        <v>15.327</v>
      </c>
      <c r="M40" s="18">
        <v>15.337999999999999</v>
      </c>
      <c r="N40" s="18">
        <f>M40*1.00672</f>
        <v>15.44107136</v>
      </c>
      <c r="O40" s="18">
        <f>N40*1.0065</f>
        <v>15.54143832384</v>
      </c>
      <c r="P40" s="18">
        <f>O40*1.00672</f>
        <v>15.645876789376205</v>
      </c>
      <c r="Q40" s="18">
        <f>P40*1.00686</f>
        <v>15.753207504151327</v>
      </c>
      <c r="R40" s="18">
        <f>Q40*1.0086</f>
        <v>15.888685088687026</v>
      </c>
      <c r="S40" s="18">
        <f>R40*1.0076</f>
        <v>16.009439095361049</v>
      </c>
      <c r="T40" s="18">
        <f>S40*1.0085</f>
        <v>16.145519327671618</v>
      </c>
      <c r="U40" s="18">
        <f>T40*1.0055</f>
        <v>16.234319683973812</v>
      </c>
      <c r="V40" s="18">
        <f>U40*1.00654</f>
        <v>16.340492134707002</v>
      </c>
      <c r="W40" s="18">
        <f>V40*1.00842</f>
        <v>16.478079078481237</v>
      </c>
      <c r="X40" s="18">
        <f>W40*1.0027</f>
        <v>16.522569891993136</v>
      </c>
      <c r="Y40" s="18">
        <f>X40*1.00583</f>
        <v>16.618896474463455</v>
      </c>
      <c r="Z40" s="18">
        <f>Y40*1.00865</f>
        <v>16.762649928967566</v>
      </c>
    </row>
    <row r="41" spans="2:26" ht="34.5" customHeight="1">
      <c r="B41" s="13">
        <v>30</v>
      </c>
      <c r="C41" s="6" t="s">
        <v>50</v>
      </c>
      <c r="D41" s="5" t="s">
        <v>27</v>
      </c>
      <c r="E41" s="5" t="s">
        <v>14</v>
      </c>
      <c r="F41" s="5"/>
      <c r="G41" s="5"/>
      <c r="H41" s="5" t="s">
        <v>14</v>
      </c>
      <c r="I41" s="5"/>
      <c r="J41" s="5" t="s">
        <v>14</v>
      </c>
      <c r="K41" s="5" t="s">
        <v>51</v>
      </c>
      <c r="L41" s="17">
        <v>2.1</v>
      </c>
      <c r="M41" s="17">
        <v>2.1</v>
      </c>
      <c r="N41" s="17">
        <v>2.1</v>
      </c>
      <c r="O41" s="17">
        <v>2.1</v>
      </c>
      <c r="P41" s="17">
        <v>2.1</v>
      </c>
      <c r="Q41" s="17">
        <v>2.1</v>
      </c>
      <c r="R41" s="17">
        <v>2.1</v>
      </c>
      <c r="S41" s="11">
        <v>2</v>
      </c>
      <c r="T41" s="11">
        <v>2</v>
      </c>
      <c r="U41" s="11">
        <v>2</v>
      </c>
      <c r="V41" s="11">
        <v>2</v>
      </c>
      <c r="W41" s="11">
        <v>2</v>
      </c>
      <c r="X41" s="11">
        <v>2</v>
      </c>
      <c r="Y41" s="11">
        <v>2</v>
      </c>
      <c r="Z41" s="11">
        <v>2</v>
      </c>
    </row>
    <row r="42" spans="2:26" ht="22.5" customHeight="1">
      <c r="B42" s="5">
        <v>31</v>
      </c>
      <c r="C42" s="6" t="s">
        <v>52</v>
      </c>
      <c r="D42" s="5" t="s">
        <v>27</v>
      </c>
      <c r="E42" s="5"/>
      <c r="F42" s="5"/>
      <c r="G42" s="5"/>
      <c r="H42" s="5"/>
      <c r="I42" s="5"/>
      <c r="J42" s="5"/>
      <c r="K42" s="5"/>
      <c r="L42" s="17">
        <v>7.5</v>
      </c>
      <c r="M42" s="17">
        <v>6.3</v>
      </c>
      <c r="N42" s="11">
        <v>6.3</v>
      </c>
      <c r="O42" s="11">
        <v>6.2</v>
      </c>
      <c r="P42" s="11">
        <v>6.2</v>
      </c>
      <c r="Q42" s="11">
        <v>6.1</v>
      </c>
      <c r="R42" s="11">
        <v>6.1</v>
      </c>
      <c r="S42" s="11">
        <v>6.1</v>
      </c>
      <c r="T42" s="11">
        <v>6</v>
      </c>
      <c r="U42" s="11">
        <v>6</v>
      </c>
      <c r="V42" s="11">
        <v>5.9</v>
      </c>
      <c r="W42" s="11">
        <v>5.9</v>
      </c>
      <c r="X42" s="11">
        <v>5.9</v>
      </c>
      <c r="Y42" s="11">
        <v>5.8</v>
      </c>
      <c r="Z42" s="11">
        <v>5.8</v>
      </c>
    </row>
    <row r="43" spans="2:26" ht="37.5" customHeight="1">
      <c r="B43" s="13">
        <v>32</v>
      </c>
      <c r="C43" s="6" t="s">
        <v>53</v>
      </c>
      <c r="D43" s="21" t="s">
        <v>19</v>
      </c>
      <c r="E43" s="5"/>
      <c r="F43" s="5"/>
      <c r="G43" s="5"/>
      <c r="H43" s="5"/>
      <c r="I43" s="5"/>
      <c r="J43" s="5"/>
      <c r="K43" s="5"/>
      <c r="L43" s="17">
        <v>158</v>
      </c>
      <c r="M43" s="17">
        <v>237</v>
      </c>
      <c r="N43" s="17">
        <v>200</v>
      </c>
      <c r="O43" s="17">
        <v>200</v>
      </c>
      <c r="P43" s="17">
        <v>200</v>
      </c>
      <c r="Q43" s="17">
        <v>200</v>
      </c>
      <c r="R43" s="17">
        <v>200</v>
      </c>
      <c r="S43" s="17">
        <v>200</v>
      </c>
      <c r="T43" s="17">
        <v>200</v>
      </c>
      <c r="U43" s="17">
        <v>200</v>
      </c>
      <c r="V43" s="17">
        <v>200</v>
      </c>
      <c r="W43" s="17">
        <v>200</v>
      </c>
      <c r="X43" s="17">
        <v>200</v>
      </c>
      <c r="Y43" s="17">
        <v>200</v>
      </c>
      <c r="Z43" s="17">
        <v>200</v>
      </c>
    </row>
    <row r="44" spans="2:26" ht="36.75" customHeight="1">
      <c r="B44" s="5">
        <v>33</v>
      </c>
      <c r="C44" s="6" t="s">
        <v>54</v>
      </c>
      <c r="D44" s="5" t="s">
        <v>19</v>
      </c>
      <c r="E44" s="5"/>
      <c r="F44" s="5"/>
      <c r="G44" s="5"/>
      <c r="H44" s="5"/>
      <c r="I44" s="5"/>
      <c r="J44" s="5"/>
      <c r="K44" s="5"/>
      <c r="L44" s="17">
        <v>18</v>
      </c>
      <c r="M44" s="17">
        <v>48</v>
      </c>
      <c r="N44" s="17">
        <v>38</v>
      </c>
      <c r="O44" s="17">
        <v>35</v>
      </c>
      <c r="P44" s="17">
        <v>72</v>
      </c>
      <c r="Q44" s="17">
        <v>21</v>
      </c>
      <c r="R44" s="17">
        <v>15</v>
      </c>
      <c r="S44" s="17">
        <v>20</v>
      </c>
      <c r="T44" s="17">
        <v>18</v>
      </c>
      <c r="U44" s="17">
        <v>25</v>
      </c>
      <c r="V44" s="17">
        <v>37</v>
      </c>
      <c r="W44" s="17">
        <v>28</v>
      </c>
      <c r="X44" s="17">
        <v>30</v>
      </c>
      <c r="Y44" s="17">
        <v>26</v>
      </c>
      <c r="Z44" s="17">
        <v>28</v>
      </c>
    </row>
    <row r="45" spans="2:26" ht="66" customHeight="1">
      <c r="B45" s="13">
        <v>34</v>
      </c>
      <c r="C45" s="6" t="s">
        <v>55</v>
      </c>
      <c r="D45" s="13" t="s">
        <v>56</v>
      </c>
      <c r="E45" s="5"/>
      <c r="F45" s="5"/>
      <c r="G45" s="5"/>
      <c r="H45" s="5"/>
      <c r="I45" s="5" t="s">
        <v>14</v>
      </c>
      <c r="J45" s="5"/>
      <c r="K45" s="5"/>
      <c r="L45" s="11">
        <v>14.61</v>
      </c>
      <c r="M45" s="11">
        <v>4.5999999999999996</v>
      </c>
      <c r="N45" s="11">
        <v>4.7</v>
      </c>
      <c r="O45" s="11">
        <v>4.8</v>
      </c>
      <c r="P45" s="11">
        <v>5</v>
      </c>
      <c r="Q45" s="11">
        <f>P45*1.04167</f>
        <v>5.2083500000000003</v>
      </c>
      <c r="R45" s="11">
        <f>Q45*1.02127</f>
        <v>5.3191316044999999</v>
      </c>
      <c r="S45" s="11">
        <f t="shared" ref="S45:Z45" si="10">R45*1.02173913</f>
        <v>5.4347648979373346</v>
      </c>
      <c r="T45" s="11">
        <f>S45*1.034</f>
        <v>5.619546904467204</v>
      </c>
      <c r="U45" s="11">
        <f>T45*1.025</f>
        <v>5.7600355770788836</v>
      </c>
      <c r="V45" s="11">
        <f>U45*1.0234</f>
        <v>5.8948204095825298</v>
      </c>
      <c r="W45" s="11">
        <f>V45*1.0198</f>
        <v>6.0115378536922641</v>
      </c>
      <c r="X45" s="11">
        <f>W45*1.02243</f>
        <v>6.1463766477505812</v>
      </c>
      <c r="Y45" s="11">
        <f>X45*1.03187</f>
        <v>6.3422616715143922</v>
      </c>
      <c r="Z45" s="11">
        <f t="shared" si="10"/>
        <v>6.4801369224854612</v>
      </c>
    </row>
    <row r="46" spans="2:26" ht="23.25" customHeight="1">
      <c r="B46" s="5">
        <v>35</v>
      </c>
      <c r="C46" s="6" t="s">
        <v>57</v>
      </c>
      <c r="D46" s="5" t="s">
        <v>58</v>
      </c>
      <c r="E46" s="5"/>
      <c r="F46" s="5" t="s">
        <v>14</v>
      </c>
      <c r="G46" s="5"/>
      <c r="H46" s="5" t="s">
        <v>14</v>
      </c>
      <c r="I46" s="5"/>
      <c r="J46" s="5" t="s">
        <v>14</v>
      </c>
      <c r="K46" s="5" t="s">
        <v>14</v>
      </c>
      <c r="L46" s="11">
        <v>9.3000000000000007</v>
      </c>
      <c r="M46" s="11">
        <v>6.8</v>
      </c>
      <c r="N46" s="11">
        <v>5</v>
      </c>
      <c r="O46" s="11">
        <v>5.0999999999999996</v>
      </c>
      <c r="P46" s="11">
        <v>5.2</v>
      </c>
      <c r="Q46" s="11">
        <v>5.3</v>
      </c>
      <c r="R46" s="11">
        <v>5.4</v>
      </c>
      <c r="S46" s="11">
        <v>5.5</v>
      </c>
      <c r="T46" s="11">
        <v>5.6</v>
      </c>
      <c r="U46" s="11">
        <v>6.5</v>
      </c>
      <c r="V46" s="11">
        <v>7</v>
      </c>
      <c r="W46" s="11">
        <v>7.1</v>
      </c>
      <c r="X46" s="11">
        <v>7.2</v>
      </c>
      <c r="Y46" s="11">
        <v>7.3</v>
      </c>
      <c r="Z46" s="11">
        <v>7.5</v>
      </c>
    </row>
    <row r="47" spans="2:26" ht="22.5" customHeight="1">
      <c r="B47" s="13">
        <v>36</v>
      </c>
      <c r="C47" s="6" t="s">
        <v>59</v>
      </c>
      <c r="D47" s="5" t="s">
        <v>58</v>
      </c>
      <c r="E47" s="5" t="s">
        <v>14</v>
      </c>
      <c r="F47" s="5"/>
      <c r="G47" s="5"/>
      <c r="H47" s="5"/>
      <c r="I47" s="5"/>
      <c r="J47" s="5"/>
      <c r="K47" s="5"/>
      <c r="L47" s="11">
        <v>865.4</v>
      </c>
      <c r="M47" s="9">
        <v>872.2</v>
      </c>
      <c r="N47" s="11">
        <v>886.6</v>
      </c>
      <c r="O47" s="11">
        <v>891.79499999999996</v>
      </c>
      <c r="P47" s="11">
        <v>896.79499999999996</v>
      </c>
      <c r="Q47" s="11">
        <f t="shared" ref="Q47:Z47" si="11">P47+Q46</f>
        <v>902.09499999999991</v>
      </c>
      <c r="R47" s="11">
        <f t="shared" si="11"/>
        <v>907.49499999999989</v>
      </c>
      <c r="S47" s="11">
        <f t="shared" si="11"/>
        <v>912.99499999999989</v>
      </c>
      <c r="T47" s="11">
        <f t="shared" si="11"/>
        <v>918.59499999999991</v>
      </c>
      <c r="U47" s="11">
        <f t="shared" si="11"/>
        <v>925.09499999999991</v>
      </c>
      <c r="V47" s="11">
        <f t="shared" si="11"/>
        <v>932.09499999999991</v>
      </c>
      <c r="W47" s="11">
        <f t="shared" si="11"/>
        <v>939.19499999999994</v>
      </c>
      <c r="X47" s="11">
        <f t="shared" si="11"/>
        <v>946.39499999999998</v>
      </c>
      <c r="Y47" s="11">
        <f t="shared" si="11"/>
        <v>953.69499999999994</v>
      </c>
      <c r="Z47" s="11">
        <f t="shared" si="11"/>
        <v>961.19499999999994</v>
      </c>
    </row>
    <row r="48" spans="2:26" ht="40.5" customHeight="1">
      <c r="B48" s="5">
        <v>37</v>
      </c>
      <c r="C48" s="6" t="s">
        <v>60</v>
      </c>
      <c r="D48" s="5" t="s">
        <v>61</v>
      </c>
      <c r="E48" s="5" t="s">
        <v>14</v>
      </c>
      <c r="F48" s="5"/>
      <c r="G48" s="5" t="s">
        <v>62</v>
      </c>
      <c r="H48" s="5"/>
      <c r="I48" s="5" t="s">
        <v>14</v>
      </c>
      <c r="J48" s="5"/>
      <c r="K48" s="5"/>
      <c r="L48" s="11">
        <f t="shared" ref="L48:Z48" si="12">(L47*1000)/(L60*1000)</f>
        <v>24.173184357541899</v>
      </c>
      <c r="M48" s="11">
        <v>24.8</v>
      </c>
      <c r="N48" s="11">
        <f t="shared" si="12"/>
        <v>25.116147308781869</v>
      </c>
      <c r="O48" s="11">
        <f t="shared" si="12"/>
        <v>25.407264957264957</v>
      </c>
      <c r="P48" s="11">
        <f t="shared" si="12"/>
        <v>25.696131805157592</v>
      </c>
      <c r="Q48" s="11">
        <f t="shared" si="12"/>
        <v>26.08439298656014</v>
      </c>
      <c r="R48" s="11">
        <f t="shared" si="12"/>
        <v>26.298709262547543</v>
      </c>
      <c r="S48" s="11">
        <f t="shared" si="12"/>
        <v>26.445451074528254</v>
      </c>
      <c r="T48" s="11">
        <f t="shared" si="12"/>
        <v>26.536558566192351</v>
      </c>
      <c r="U48" s="11">
        <f t="shared" si="12"/>
        <v>26.614770348272476</v>
      </c>
      <c r="V48" s="11">
        <f t="shared" si="12"/>
        <v>26.690992064635175</v>
      </c>
      <c r="W48" s="11">
        <f t="shared" si="12"/>
        <v>26.752961504237067</v>
      </c>
      <c r="X48" s="11">
        <f t="shared" si="12"/>
        <v>26.791305146200603</v>
      </c>
      <c r="Y48" s="11">
        <f t="shared" si="12"/>
        <v>26.805218200859088</v>
      </c>
      <c r="Z48" s="11">
        <f t="shared" si="12"/>
        <v>26.809551770809115</v>
      </c>
    </row>
    <row r="49" spans="2:32" ht="105">
      <c r="B49" s="13">
        <v>38</v>
      </c>
      <c r="C49" s="12" t="s">
        <v>63</v>
      </c>
      <c r="D49" s="28" t="s">
        <v>27</v>
      </c>
      <c r="E49" s="28"/>
      <c r="F49" s="28"/>
      <c r="G49" s="28"/>
      <c r="H49" s="28" t="s">
        <v>14</v>
      </c>
      <c r="I49" s="28"/>
      <c r="J49" s="28"/>
      <c r="K49" s="28"/>
      <c r="L49" s="11">
        <v>51</v>
      </c>
      <c r="M49" s="11">
        <v>50.9</v>
      </c>
      <c r="N49" s="11">
        <v>51</v>
      </c>
      <c r="O49" s="11">
        <v>51.1</v>
      </c>
      <c r="P49" s="11">
        <v>51.2</v>
      </c>
      <c r="Q49" s="11">
        <f>P49*1.00195</f>
        <v>51.299839999999996</v>
      </c>
      <c r="R49" s="11">
        <f t="shared" ref="R49:Z49" si="13">Q49*1.00195</f>
        <v>51.39987468799999</v>
      </c>
      <c r="S49" s="11">
        <f t="shared" si="13"/>
        <v>51.500104443641582</v>
      </c>
      <c r="T49" s="11">
        <f t="shared" si="13"/>
        <v>51.600529647306679</v>
      </c>
      <c r="U49" s="11">
        <f t="shared" si="13"/>
        <v>51.701150680118921</v>
      </c>
      <c r="V49" s="11">
        <f t="shared" si="13"/>
        <v>51.801967923945149</v>
      </c>
      <c r="W49" s="11">
        <f t="shared" si="13"/>
        <v>51.902981761396838</v>
      </c>
      <c r="X49" s="11">
        <f t="shared" si="13"/>
        <v>52.004192575831553</v>
      </c>
      <c r="Y49" s="11">
        <f t="shared" si="13"/>
        <v>52.105600751354416</v>
      </c>
      <c r="Z49" s="11">
        <f t="shared" si="13"/>
        <v>52.207206672819552</v>
      </c>
    </row>
    <row r="50" spans="2:32" ht="75">
      <c r="B50" s="28">
        <v>39</v>
      </c>
      <c r="C50" s="12" t="s">
        <v>64</v>
      </c>
      <c r="D50" s="28"/>
      <c r="E50" s="28"/>
      <c r="F50" s="28"/>
      <c r="G50" s="28"/>
      <c r="H50" s="28"/>
      <c r="I50" s="28"/>
      <c r="J50" s="28"/>
      <c r="K50" s="28"/>
      <c r="L50" s="11">
        <v>6.1</v>
      </c>
      <c r="M50" s="11">
        <v>5.4</v>
      </c>
      <c r="N50" s="11">
        <v>5.4</v>
      </c>
      <c r="O50" s="11">
        <v>5.3</v>
      </c>
      <c r="P50" s="11">
        <v>5.2</v>
      </c>
      <c r="Q50" s="11">
        <f>P50*0.98113208</f>
        <v>5.1018868160000004</v>
      </c>
      <c r="R50" s="11">
        <f t="shared" ref="R50:Y50" si="14">Q50*0.98113208</f>
        <v>5.0056248237066576</v>
      </c>
      <c r="S50" s="11">
        <f t="shared" si="14"/>
        <v>4.9111790949829457</v>
      </c>
      <c r="T50" s="11">
        <f t="shared" si="14"/>
        <v>4.8185153607131346</v>
      </c>
      <c r="U50" s="11">
        <f t="shared" si="14"/>
        <v>4.7275999983684276</v>
      </c>
      <c r="V50" s="11">
        <f t="shared" si="14"/>
        <v>4.6384000198072117</v>
      </c>
      <c r="W50" s="11">
        <f t="shared" si="14"/>
        <v>4.550883059305491</v>
      </c>
      <c r="X50" s="11">
        <f t="shared" si="14"/>
        <v>4.4650173618131594</v>
      </c>
      <c r="Y50" s="11">
        <f t="shared" si="14"/>
        <v>4.3807717714318573</v>
      </c>
      <c r="Z50" s="11">
        <f>Y50*0.98113208</f>
        <v>4.2981157201102222</v>
      </c>
    </row>
    <row r="51" spans="2:32" ht="94.5" customHeight="1">
      <c r="B51" s="13">
        <v>40</v>
      </c>
      <c r="C51" s="12" t="s">
        <v>65</v>
      </c>
      <c r="D51" s="28" t="s">
        <v>27</v>
      </c>
      <c r="E51" s="28"/>
      <c r="F51" s="28"/>
      <c r="G51" s="28"/>
      <c r="H51" s="28"/>
      <c r="I51" s="28" t="s">
        <v>14</v>
      </c>
      <c r="J51" s="28"/>
      <c r="K51" s="28"/>
      <c r="L51" s="11">
        <v>4.5999999999999996</v>
      </c>
      <c r="M51" s="11">
        <v>2</v>
      </c>
      <c r="N51" s="11">
        <v>5.2</v>
      </c>
      <c r="O51" s="11">
        <v>5.0999999999999996</v>
      </c>
      <c r="P51" s="11">
        <v>5</v>
      </c>
      <c r="Q51" s="11">
        <v>4.9000000000000004</v>
      </c>
      <c r="R51" s="11">
        <v>4.8</v>
      </c>
      <c r="S51" s="11">
        <v>4.7</v>
      </c>
      <c r="T51" s="11">
        <v>4.5999999999999996</v>
      </c>
      <c r="U51" s="11">
        <v>4.5</v>
      </c>
      <c r="V51" s="11">
        <v>4.4000000000000004</v>
      </c>
      <c r="W51" s="11">
        <v>4.3</v>
      </c>
      <c r="X51" s="11">
        <v>4.2</v>
      </c>
      <c r="Y51" s="11">
        <v>4.0999999999999996</v>
      </c>
      <c r="Z51" s="11">
        <v>4</v>
      </c>
    </row>
    <row r="52" spans="2:32" ht="90">
      <c r="B52" s="28">
        <v>41</v>
      </c>
      <c r="C52" s="12" t="s">
        <v>66</v>
      </c>
      <c r="D52" s="28" t="s">
        <v>27</v>
      </c>
      <c r="E52" s="28"/>
      <c r="F52" s="28"/>
      <c r="G52" s="28"/>
      <c r="H52" s="28"/>
      <c r="I52" s="28" t="s">
        <v>14</v>
      </c>
      <c r="J52" s="28"/>
      <c r="K52" s="28"/>
      <c r="L52" s="17">
        <v>77.099999999999994</v>
      </c>
      <c r="M52" s="17">
        <v>81.599999999999994</v>
      </c>
      <c r="N52" s="17">
        <v>81.599999999999994</v>
      </c>
      <c r="O52" s="17">
        <v>81.599999999999994</v>
      </c>
      <c r="P52" s="17">
        <v>81.599999999999994</v>
      </c>
      <c r="Q52" s="11">
        <f>P52*1.01</f>
        <v>82.415999999999997</v>
      </c>
      <c r="R52" s="11">
        <f t="shared" ref="R52:Z52" si="15">Q52*1.01</f>
        <v>83.240160000000003</v>
      </c>
      <c r="S52" s="11">
        <f t="shared" si="15"/>
        <v>84.0725616</v>
      </c>
      <c r="T52" s="11">
        <v>84.1</v>
      </c>
      <c r="U52" s="11">
        <f t="shared" si="15"/>
        <v>84.940999999999988</v>
      </c>
      <c r="V52" s="11">
        <f t="shared" si="15"/>
        <v>85.790409999999994</v>
      </c>
      <c r="W52" s="11">
        <v>86</v>
      </c>
      <c r="X52" s="11">
        <f t="shared" si="15"/>
        <v>86.86</v>
      </c>
      <c r="Y52" s="11">
        <f t="shared" si="15"/>
        <v>87.7286</v>
      </c>
      <c r="Z52" s="11">
        <f t="shared" si="15"/>
        <v>88.605885999999998</v>
      </c>
    </row>
    <row r="53" spans="2:32" ht="60">
      <c r="B53" s="13">
        <v>42</v>
      </c>
      <c r="C53" s="12" t="s">
        <v>67</v>
      </c>
      <c r="D53" s="28" t="s">
        <v>27</v>
      </c>
      <c r="E53" s="28"/>
      <c r="F53" s="28"/>
      <c r="G53" s="28"/>
      <c r="H53" s="28"/>
      <c r="I53" s="28" t="s">
        <v>14</v>
      </c>
      <c r="J53" s="28"/>
      <c r="K53" s="28"/>
      <c r="L53" s="17">
        <v>82.8</v>
      </c>
      <c r="M53" s="17">
        <v>83.8</v>
      </c>
      <c r="N53" s="17">
        <v>83.8</v>
      </c>
      <c r="O53" s="17">
        <v>83.8</v>
      </c>
      <c r="P53" s="17">
        <v>83.9</v>
      </c>
      <c r="Q53" s="11">
        <f>P53*1.0011</f>
        <v>83.992290000000011</v>
      </c>
      <c r="R53" s="11">
        <f t="shared" ref="R53:Z53" si="16">Q53*1.0011</f>
        <v>84.084681519000014</v>
      </c>
      <c r="S53" s="11">
        <f t="shared" si="16"/>
        <v>84.177174668670929</v>
      </c>
      <c r="T53" s="11">
        <f t="shared" si="16"/>
        <v>84.269769560806481</v>
      </c>
      <c r="U53" s="11">
        <f t="shared" si="16"/>
        <v>84.362466307323373</v>
      </c>
      <c r="V53" s="11">
        <f t="shared" si="16"/>
        <v>84.455265020261436</v>
      </c>
      <c r="W53" s="11">
        <f t="shared" si="16"/>
        <v>84.548165811783733</v>
      </c>
      <c r="X53" s="11">
        <f t="shared" si="16"/>
        <v>84.641168794176707</v>
      </c>
      <c r="Y53" s="11">
        <f t="shared" si="16"/>
        <v>84.734274079850309</v>
      </c>
      <c r="Z53" s="11">
        <f t="shared" si="16"/>
        <v>84.82748178133815</v>
      </c>
    </row>
    <row r="54" spans="2:32" ht="105">
      <c r="B54" s="28">
        <v>43</v>
      </c>
      <c r="C54" s="12" t="s">
        <v>68</v>
      </c>
      <c r="D54" s="28" t="s">
        <v>27</v>
      </c>
      <c r="E54" s="28" t="s">
        <v>14</v>
      </c>
      <c r="F54" s="28"/>
      <c r="G54" s="28"/>
      <c r="H54" s="28"/>
      <c r="I54" s="28" t="s">
        <v>14</v>
      </c>
      <c r="J54" s="28"/>
      <c r="K54" s="28" t="s">
        <v>14</v>
      </c>
      <c r="L54" s="11">
        <v>69.599999999999994</v>
      </c>
      <c r="M54" s="18">
        <v>70.02</v>
      </c>
      <c r="N54" s="11">
        <v>71</v>
      </c>
      <c r="O54" s="11">
        <v>73</v>
      </c>
      <c r="P54" s="11">
        <v>75</v>
      </c>
      <c r="Q54" s="11">
        <f>P54*1.0015996</f>
        <v>75.119970000000009</v>
      </c>
      <c r="R54" s="11">
        <f>Q54*1.0022</f>
        <v>75.285233934000004</v>
      </c>
      <c r="S54" s="11">
        <f>R54*1.0018</f>
        <v>75.420747355081204</v>
      </c>
      <c r="T54" s="11">
        <f>S54*1.0022</f>
        <v>75.586672999262376</v>
      </c>
      <c r="U54" s="11">
        <f>T54*1.0029</f>
        <v>75.805874350960224</v>
      </c>
      <c r="V54" s="11">
        <f>U54*1.0014</f>
        <v>75.912002575051574</v>
      </c>
      <c r="W54" s="11">
        <f>V54*1.0028</f>
        <v>76.124556182261713</v>
      </c>
      <c r="X54" s="11">
        <f>W54*1.00142</f>
        <v>76.232653052040519</v>
      </c>
      <c r="Y54" s="11">
        <f>X54*1.00132</f>
        <v>76.333280154069215</v>
      </c>
      <c r="Z54" s="11">
        <f>Y54*1.00132</f>
        <v>76.434040083872588</v>
      </c>
    </row>
    <row r="55" spans="2:32" ht="51.75" customHeight="1">
      <c r="B55" s="13">
        <v>44</v>
      </c>
      <c r="C55" s="12" t="s">
        <v>109</v>
      </c>
      <c r="D55" s="28" t="s">
        <v>27</v>
      </c>
      <c r="E55" s="28"/>
      <c r="F55" s="28" t="s">
        <v>14</v>
      </c>
      <c r="G55" s="28"/>
      <c r="H55" s="28"/>
      <c r="I55" s="28"/>
      <c r="J55" s="28"/>
      <c r="K55" s="28"/>
      <c r="L55" s="18">
        <v>15.09</v>
      </c>
      <c r="M55" s="18">
        <v>9.43</v>
      </c>
      <c r="N55" s="18">
        <v>7.55</v>
      </c>
      <c r="O55" s="18">
        <v>5.66</v>
      </c>
      <c r="P55" s="18">
        <v>3.77</v>
      </c>
      <c r="Q55" s="18">
        <f>P55*0.95</f>
        <v>3.5814999999999997</v>
      </c>
      <c r="R55" s="18">
        <f t="shared" ref="R55:Z55" si="17">Q55*0.95</f>
        <v>3.4024249999999996</v>
      </c>
      <c r="S55" s="18">
        <f t="shared" si="17"/>
        <v>3.2323037499999994</v>
      </c>
      <c r="T55" s="18">
        <f t="shared" si="17"/>
        <v>3.0706885624999991</v>
      </c>
      <c r="U55" s="18">
        <f t="shared" si="17"/>
        <v>2.9171541343749992</v>
      </c>
      <c r="V55" s="18">
        <f t="shared" si="17"/>
        <v>2.7712964276562491</v>
      </c>
      <c r="W55" s="18">
        <f t="shared" si="17"/>
        <v>2.6327316062734365</v>
      </c>
      <c r="X55" s="18">
        <f t="shared" si="17"/>
        <v>2.5010950259597644</v>
      </c>
      <c r="Y55" s="18">
        <f t="shared" si="17"/>
        <v>2.3760402746617761</v>
      </c>
      <c r="Z55" s="18">
        <f t="shared" si="17"/>
        <v>2.2572382609286872</v>
      </c>
    </row>
    <row r="56" spans="2:32" ht="54.75" customHeight="1">
      <c r="B56" s="28">
        <v>45</v>
      </c>
      <c r="C56" s="14" t="s">
        <v>107</v>
      </c>
      <c r="D56" s="28" t="s">
        <v>19</v>
      </c>
      <c r="E56" s="28" t="s">
        <v>14</v>
      </c>
      <c r="F56" s="28" t="s">
        <v>14</v>
      </c>
      <c r="G56" s="28"/>
      <c r="H56" s="28"/>
      <c r="I56" s="28"/>
      <c r="J56" s="28"/>
      <c r="K56" s="28"/>
      <c r="L56" s="17">
        <v>8</v>
      </c>
      <c r="M56" s="17">
        <v>11</v>
      </c>
      <c r="N56" s="17">
        <v>12</v>
      </c>
      <c r="O56" s="17">
        <v>13</v>
      </c>
      <c r="P56" s="17">
        <v>14</v>
      </c>
      <c r="Q56" s="17">
        <v>15</v>
      </c>
      <c r="R56" s="17">
        <v>15</v>
      </c>
      <c r="S56" s="17">
        <v>15</v>
      </c>
      <c r="T56" s="17">
        <v>15</v>
      </c>
      <c r="U56" s="17">
        <v>15</v>
      </c>
      <c r="V56" s="17">
        <v>15</v>
      </c>
      <c r="W56" s="17">
        <v>15</v>
      </c>
      <c r="X56" s="17">
        <v>15</v>
      </c>
      <c r="Y56" s="17">
        <v>15</v>
      </c>
      <c r="Z56" s="17">
        <v>15</v>
      </c>
    </row>
    <row r="57" spans="2:32" ht="52.5" customHeight="1">
      <c r="B57" s="13">
        <v>46</v>
      </c>
      <c r="C57" s="33" t="s">
        <v>69</v>
      </c>
      <c r="D57" s="28" t="s">
        <v>27</v>
      </c>
      <c r="E57" s="28" t="s">
        <v>14</v>
      </c>
      <c r="F57" s="28"/>
      <c r="G57" s="28"/>
      <c r="H57" s="28"/>
      <c r="I57" s="28" t="s">
        <v>14</v>
      </c>
      <c r="J57" s="28"/>
      <c r="K57" s="28" t="s">
        <v>14</v>
      </c>
      <c r="L57" s="11">
        <v>36.630000000000003</v>
      </c>
      <c r="M57" s="11">
        <v>38.21</v>
      </c>
      <c r="N57" s="11">
        <v>40</v>
      </c>
      <c r="O57" s="11">
        <v>41</v>
      </c>
      <c r="P57" s="11">
        <v>44</v>
      </c>
      <c r="Q57" s="11">
        <f>P57*1.03641</f>
        <v>45.602040000000002</v>
      </c>
      <c r="R57" s="11">
        <f t="shared" ref="R57" si="18">Q57*1.03641</f>
        <v>47.262410276400004</v>
      </c>
      <c r="S57" s="11">
        <v>47.9</v>
      </c>
      <c r="T57" s="11">
        <v>50</v>
      </c>
      <c r="U57" s="11">
        <v>52</v>
      </c>
      <c r="V57" s="11">
        <f t="shared" ref="V57" si="19">U57*1.01541</f>
        <v>52.801319999999997</v>
      </c>
      <c r="W57" s="11">
        <v>53.8</v>
      </c>
      <c r="X57" s="11">
        <v>54</v>
      </c>
      <c r="Y57" s="11">
        <v>54.5</v>
      </c>
      <c r="Z57" s="11">
        <v>55</v>
      </c>
    </row>
    <row r="58" spans="2:32" ht="60">
      <c r="B58" s="28">
        <v>47</v>
      </c>
      <c r="C58" s="6" t="s">
        <v>70</v>
      </c>
      <c r="D58" s="28" t="s">
        <v>27</v>
      </c>
      <c r="E58" s="28"/>
      <c r="F58" s="28"/>
      <c r="G58" s="28"/>
      <c r="H58" s="28"/>
      <c r="I58" s="28" t="s">
        <v>14</v>
      </c>
      <c r="J58" s="28"/>
      <c r="K58" s="28"/>
      <c r="L58" s="18">
        <v>58.41</v>
      </c>
      <c r="M58" s="18">
        <v>71.97</v>
      </c>
      <c r="N58" s="18">
        <v>72</v>
      </c>
      <c r="O58" s="18">
        <v>76</v>
      </c>
      <c r="P58" s="18">
        <v>80</v>
      </c>
      <c r="Q58" s="18">
        <f>P58*1.01263</f>
        <v>81.01039999999999</v>
      </c>
      <c r="R58" s="18">
        <f>Q58*1.01</f>
        <v>81.820503999999985</v>
      </c>
      <c r="S58" s="18">
        <f>R58*1.02</f>
        <v>83.45691407999999</v>
      </c>
      <c r="T58" s="18">
        <f>S58*1.012</f>
        <v>84.458397048959995</v>
      </c>
      <c r="U58" s="18">
        <f t="shared" ref="U58" si="20">T58*1.01</f>
        <v>85.302981019449589</v>
      </c>
      <c r="V58" s="18">
        <f>U58*1.015</f>
        <v>86.582525734741324</v>
      </c>
      <c r="W58" s="18">
        <f>V58*1.01</f>
        <v>87.448350992088734</v>
      </c>
      <c r="X58" s="18">
        <f>W58*1.0111</f>
        <v>88.419027688100925</v>
      </c>
      <c r="Y58" s="18">
        <f>X58*1.013</f>
        <v>89.568475048046224</v>
      </c>
      <c r="Z58" s="18">
        <f>Y58*1.009</f>
        <v>90.374591323478626</v>
      </c>
    </row>
    <row r="59" spans="2:32" ht="36.75" customHeight="1">
      <c r="B59" s="13">
        <v>48</v>
      </c>
      <c r="C59" s="19" t="s">
        <v>71</v>
      </c>
      <c r="D59" s="5" t="s">
        <v>72</v>
      </c>
      <c r="E59" s="5"/>
      <c r="F59" s="5" t="s">
        <v>14</v>
      </c>
      <c r="G59" s="5"/>
      <c r="H59" s="5"/>
      <c r="I59" s="5"/>
      <c r="J59" s="5"/>
      <c r="K59" s="5"/>
      <c r="L59" s="39">
        <v>3100</v>
      </c>
      <c r="M59" s="39">
        <v>3150</v>
      </c>
      <c r="N59" s="39">
        <v>3360</v>
      </c>
      <c r="O59" s="39">
        <v>3400</v>
      </c>
      <c r="P59" s="39">
        <v>3580</v>
      </c>
      <c r="Q59" s="39">
        <v>3620</v>
      </c>
      <c r="R59" s="39">
        <v>3680</v>
      </c>
      <c r="S59" s="39">
        <v>3720</v>
      </c>
      <c r="T59" s="39">
        <v>3780</v>
      </c>
      <c r="U59" s="39">
        <v>3800</v>
      </c>
      <c r="V59" s="39">
        <v>3850</v>
      </c>
      <c r="W59" s="39">
        <v>3870</v>
      </c>
      <c r="X59" s="39">
        <v>3890</v>
      </c>
      <c r="Y59" s="39">
        <v>3900</v>
      </c>
      <c r="Z59" s="39">
        <v>3920</v>
      </c>
    </row>
    <row r="60" spans="2:32" ht="45">
      <c r="B60" s="5">
        <v>49</v>
      </c>
      <c r="C60" s="6" t="s">
        <v>73</v>
      </c>
      <c r="D60" s="7" t="s">
        <v>48</v>
      </c>
      <c r="E60" s="3" t="s">
        <v>14</v>
      </c>
      <c r="F60" s="3"/>
      <c r="G60" s="3"/>
      <c r="H60" s="3" t="s">
        <v>14</v>
      </c>
      <c r="I60" s="3" t="s">
        <v>74</v>
      </c>
      <c r="J60" s="5"/>
      <c r="K60" s="5"/>
      <c r="L60" s="22">
        <v>35.799999999999997</v>
      </c>
      <c r="M60" s="22">
        <v>35.5</v>
      </c>
      <c r="N60" s="22">
        <v>35.299999999999997</v>
      </c>
      <c r="O60" s="22">
        <v>35.1</v>
      </c>
      <c r="P60" s="22">
        <v>34.9</v>
      </c>
      <c r="Q60" s="22">
        <f t="shared" ref="Q60:Y60" si="21">(Q61+P61)/2 /1000</f>
        <v>34.583706834381772</v>
      </c>
      <c r="R60" s="22">
        <f t="shared" si="21"/>
        <v>34.507206834381776</v>
      </c>
      <c r="S60" s="22">
        <f t="shared" si="21"/>
        <v>34.523706834381777</v>
      </c>
      <c r="T60" s="22">
        <f t="shared" si="21"/>
        <v>34.616206834381771</v>
      </c>
      <c r="U60" s="22">
        <f t="shared" si="21"/>
        <v>34.758706834381776</v>
      </c>
      <c r="V60" s="22">
        <f t="shared" si="21"/>
        <v>34.921706834381773</v>
      </c>
      <c r="W60" s="22">
        <f t="shared" si="21"/>
        <v>35.106206834381773</v>
      </c>
      <c r="X60" s="22">
        <f t="shared" si="21"/>
        <v>35.324706834381772</v>
      </c>
      <c r="Y60" s="22">
        <f t="shared" si="21"/>
        <v>35.578706834381777</v>
      </c>
      <c r="Z60" s="22">
        <f>(Z61+Y61)/2 /1000</f>
        <v>35.85270683438177</v>
      </c>
      <c r="AA60" s="23"/>
    </row>
    <row r="61" spans="2:32" ht="30">
      <c r="B61" s="13">
        <v>50</v>
      </c>
      <c r="C61" s="6" t="s">
        <v>75</v>
      </c>
      <c r="D61" s="7" t="s">
        <v>72</v>
      </c>
      <c r="E61" s="3"/>
      <c r="F61" s="3"/>
      <c r="G61" s="3"/>
      <c r="H61" s="3"/>
      <c r="I61" s="3"/>
      <c r="J61" s="5"/>
      <c r="K61" s="5"/>
      <c r="L61" s="16">
        <v>35676</v>
      </c>
      <c r="M61" s="16">
        <v>35246</v>
      </c>
      <c r="N61" s="16">
        <f>M61*0.9944</f>
        <v>35048.6224</v>
      </c>
      <c r="O61" s="16">
        <f>N61*0.9943</f>
        <v>34848.845252319996</v>
      </c>
      <c r="P61" s="16">
        <f>O61*0.9943</f>
        <v>34650.206834381774</v>
      </c>
      <c r="Q61" s="16">
        <f t="shared" ref="Q61:Z61" si="22">P61+Q62-Q64+Q68-Q69</f>
        <v>34517.206834381774</v>
      </c>
      <c r="R61" s="16">
        <f t="shared" si="22"/>
        <v>34497.206834381774</v>
      </c>
      <c r="S61" s="16">
        <f t="shared" si="22"/>
        <v>34550.206834381774</v>
      </c>
      <c r="T61" s="16">
        <f t="shared" si="22"/>
        <v>34682.206834381774</v>
      </c>
      <c r="U61" s="16">
        <f t="shared" si="22"/>
        <v>34835.206834381774</v>
      </c>
      <c r="V61" s="16">
        <f t="shared" si="22"/>
        <v>35008.206834381774</v>
      </c>
      <c r="W61" s="16">
        <f t="shared" si="22"/>
        <v>35204.206834381774</v>
      </c>
      <c r="X61" s="16">
        <f t="shared" si="22"/>
        <v>35445.206834381774</v>
      </c>
      <c r="Y61" s="16">
        <f t="shared" si="22"/>
        <v>35712.206834381774</v>
      </c>
      <c r="Z61" s="16">
        <f t="shared" si="22"/>
        <v>35993.206834381774</v>
      </c>
      <c r="AA61" s="24"/>
      <c r="AB61" s="24"/>
      <c r="AC61" s="24"/>
      <c r="AD61" s="24"/>
    </row>
    <row r="62" spans="2:32" ht="22.5" customHeight="1">
      <c r="B62" s="5">
        <v>51</v>
      </c>
      <c r="C62" s="12" t="s">
        <v>76</v>
      </c>
      <c r="D62" s="7" t="s">
        <v>72</v>
      </c>
      <c r="E62" s="3"/>
      <c r="F62" s="3"/>
      <c r="G62" s="3"/>
      <c r="H62" s="3"/>
      <c r="I62" s="3"/>
      <c r="J62" s="5"/>
      <c r="K62" s="5"/>
      <c r="L62" s="16">
        <v>481</v>
      </c>
      <c r="M62" s="16">
        <v>483</v>
      </c>
      <c r="N62" s="16">
        <v>516</v>
      </c>
      <c r="O62" s="16">
        <v>520</v>
      </c>
      <c r="P62" s="16">
        <v>528</v>
      </c>
      <c r="Q62" s="16">
        <v>540</v>
      </c>
      <c r="R62" s="16">
        <v>570</v>
      </c>
      <c r="S62" s="16">
        <v>590</v>
      </c>
      <c r="T62" s="16">
        <v>610</v>
      </c>
      <c r="U62" s="16">
        <v>615</v>
      </c>
      <c r="V62" s="16">
        <v>620</v>
      </c>
      <c r="W62" s="16">
        <v>630</v>
      </c>
      <c r="X62" s="16">
        <v>642</v>
      </c>
      <c r="Y62" s="16">
        <v>648</v>
      </c>
      <c r="Z62" s="16">
        <v>650</v>
      </c>
      <c r="AA62" s="25"/>
      <c r="AB62" s="25"/>
      <c r="AC62" s="25"/>
      <c r="AD62" s="25"/>
      <c r="AE62" s="25"/>
      <c r="AF62" s="25"/>
    </row>
    <row r="63" spans="2:32" ht="30">
      <c r="B63" s="13">
        <v>52</v>
      </c>
      <c r="C63" s="12" t="s">
        <v>77</v>
      </c>
      <c r="D63" s="7" t="s">
        <v>78</v>
      </c>
      <c r="E63" s="3"/>
      <c r="F63" s="3"/>
      <c r="G63" s="3"/>
      <c r="H63" s="3"/>
      <c r="I63" s="3"/>
      <c r="J63" s="5"/>
      <c r="K63" s="5"/>
      <c r="L63" s="11">
        <v>13.4</v>
      </c>
      <c r="M63" s="11">
        <v>12.7</v>
      </c>
      <c r="N63" s="11">
        <f t="shared" ref="N63:Z63" si="23">N62/N61*1000</f>
        <v>14.722404610116715</v>
      </c>
      <c r="O63" s="11">
        <f t="shared" si="23"/>
        <v>14.921584811060045</v>
      </c>
      <c r="P63" s="11">
        <f t="shared" si="23"/>
        <v>15.238004278695687</v>
      </c>
      <c r="Q63" s="11">
        <f t="shared" si="23"/>
        <v>15.64437130127571</v>
      </c>
      <c r="R63" s="11">
        <f t="shared" si="23"/>
        <v>16.523076860585345</v>
      </c>
      <c r="S63" s="11">
        <f t="shared" si="23"/>
        <v>17.076598204699497</v>
      </c>
      <c r="T63" s="11">
        <f t="shared" si="23"/>
        <v>17.588269481032103</v>
      </c>
      <c r="U63" s="11">
        <f t="shared" si="23"/>
        <v>17.654552847178884</v>
      </c>
      <c r="V63" s="11">
        <f t="shared" si="23"/>
        <v>17.710133024896731</v>
      </c>
      <c r="W63" s="11">
        <f t="shared" si="23"/>
        <v>17.895588529059484</v>
      </c>
      <c r="X63" s="11">
        <f t="shared" si="23"/>
        <v>18.112463075748266</v>
      </c>
      <c r="Y63" s="11">
        <f t="shared" si="23"/>
        <v>18.145056198995263</v>
      </c>
      <c r="Z63" s="11">
        <f t="shared" si="23"/>
        <v>18.0589632646764</v>
      </c>
      <c r="AA63" s="25"/>
      <c r="AB63" s="25"/>
      <c r="AC63" s="25"/>
      <c r="AD63" s="25"/>
      <c r="AE63" s="25"/>
      <c r="AF63" s="25"/>
    </row>
    <row r="64" spans="2:32" ht="21.75" customHeight="1">
      <c r="B64" s="5">
        <v>53</v>
      </c>
      <c r="C64" s="12" t="s">
        <v>79</v>
      </c>
      <c r="D64" s="7" t="s">
        <v>72</v>
      </c>
      <c r="E64" s="3" t="s">
        <v>14</v>
      </c>
      <c r="F64" s="3"/>
      <c r="G64" s="3"/>
      <c r="H64" s="3" t="s">
        <v>14</v>
      </c>
      <c r="I64" s="3"/>
      <c r="J64" s="5"/>
      <c r="K64" s="5" t="s">
        <v>14</v>
      </c>
      <c r="L64" s="16">
        <v>515</v>
      </c>
      <c r="M64" s="16">
        <v>514</v>
      </c>
      <c r="N64" s="16">
        <v>500</v>
      </c>
      <c r="O64" s="16">
        <f t="shared" ref="O64:P69" si="24">N64*0.9943</f>
        <v>497.15</v>
      </c>
      <c r="P64" s="16">
        <v>494</v>
      </c>
      <c r="Q64" s="16">
        <v>493</v>
      </c>
      <c r="R64" s="16">
        <v>490</v>
      </c>
      <c r="S64" s="16">
        <v>487</v>
      </c>
      <c r="T64" s="16">
        <v>483</v>
      </c>
      <c r="U64" s="16">
        <v>479</v>
      </c>
      <c r="V64" s="16">
        <v>472</v>
      </c>
      <c r="W64" s="16">
        <v>470</v>
      </c>
      <c r="X64" s="16">
        <v>469</v>
      </c>
      <c r="Y64" s="16">
        <v>468</v>
      </c>
      <c r="Z64" s="16">
        <v>470</v>
      </c>
      <c r="AA64" s="25"/>
      <c r="AB64" s="25"/>
      <c r="AC64" s="25"/>
      <c r="AD64" s="25"/>
      <c r="AE64" s="25"/>
      <c r="AF64" s="25"/>
    </row>
    <row r="65" spans="2:35">
      <c r="B65" s="13">
        <v>54</v>
      </c>
      <c r="C65" s="12" t="s">
        <v>80</v>
      </c>
      <c r="D65" s="7" t="s">
        <v>78</v>
      </c>
      <c r="E65" s="3"/>
      <c r="F65" s="3"/>
      <c r="G65" s="3"/>
      <c r="H65" s="3"/>
      <c r="I65" s="3"/>
      <c r="J65" s="5"/>
      <c r="K65" s="5"/>
      <c r="L65" s="11">
        <f>L64/L61*1000</f>
        <v>14.435474829016707</v>
      </c>
      <c r="M65" s="11">
        <v>14.4</v>
      </c>
      <c r="N65" s="11">
        <f t="shared" ref="N65:Z65" si="25">N64/N61*1000</f>
        <v>14.265895940035577</v>
      </c>
      <c r="O65" s="11">
        <f t="shared" si="25"/>
        <v>14.265895940035577</v>
      </c>
      <c r="P65" s="11">
        <f t="shared" si="25"/>
        <v>14.256769154688767</v>
      </c>
      <c r="Q65" s="11">
        <f t="shared" si="25"/>
        <v>14.282731576905416</v>
      </c>
      <c r="R65" s="11">
        <f t="shared" si="25"/>
        <v>14.204048529275118</v>
      </c>
      <c r="S65" s="11">
        <f t="shared" si="25"/>
        <v>14.09542936557399</v>
      </c>
      <c r="T65" s="11">
        <f t="shared" si="25"/>
        <v>13.926449441538535</v>
      </c>
      <c r="U65" s="11">
        <f t="shared" si="25"/>
        <v>13.750456607802739</v>
      </c>
      <c r="V65" s="11">
        <f t="shared" si="25"/>
        <v>13.482552883469769</v>
      </c>
      <c r="W65" s="11">
        <f t="shared" si="25"/>
        <v>13.350677156599932</v>
      </c>
      <c r="X65" s="11">
        <f t="shared" si="25"/>
        <v>13.231690315460963</v>
      </c>
      <c r="Y65" s="11">
        <f t="shared" si="25"/>
        <v>13.104762810385468</v>
      </c>
      <c r="Z65" s="11">
        <f t="shared" si="25"/>
        <v>13.058019591381397</v>
      </c>
      <c r="AA65" s="25"/>
      <c r="AB65" s="25"/>
      <c r="AC65" s="25"/>
      <c r="AD65" s="25"/>
      <c r="AE65" s="25"/>
      <c r="AF65" s="25"/>
    </row>
    <row r="66" spans="2:35">
      <c r="B66" s="5">
        <v>55</v>
      </c>
      <c r="C66" s="12" t="s">
        <v>81</v>
      </c>
      <c r="D66" s="7" t="s">
        <v>78</v>
      </c>
      <c r="E66" s="3"/>
      <c r="F66" s="3"/>
      <c r="G66" s="3"/>
      <c r="H66" s="3"/>
      <c r="I66" s="3"/>
      <c r="J66" s="5"/>
      <c r="K66" s="5"/>
      <c r="L66" s="16">
        <f>L62-L64</f>
        <v>-34</v>
      </c>
      <c r="M66" s="16">
        <f t="shared" ref="M66:Z66" si="26">M62-M64</f>
        <v>-31</v>
      </c>
      <c r="N66" s="16">
        <f t="shared" si="26"/>
        <v>16</v>
      </c>
      <c r="O66" s="16">
        <f t="shared" si="26"/>
        <v>22.850000000000023</v>
      </c>
      <c r="P66" s="16">
        <f t="shared" si="26"/>
        <v>34</v>
      </c>
      <c r="Q66" s="16">
        <f t="shared" si="26"/>
        <v>47</v>
      </c>
      <c r="R66" s="16">
        <f t="shared" si="26"/>
        <v>80</v>
      </c>
      <c r="S66" s="16">
        <f t="shared" si="26"/>
        <v>103</v>
      </c>
      <c r="T66" s="16">
        <f t="shared" si="26"/>
        <v>127</v>
      </c>
      <c r="U66" s="16">
        <f t="shared" si="26"/>
        <v>136</v>
      </c>
      <c r="V66" s="16">
        <f t="shared" si="26"/>
        <v>148</v>
      </c>
      <c r="W66" s="16">
        <f t="shared" si="26"/>
        <v>160</v>
      </c>
      <c r="X66" s="16">
        <f t="shared" si="26"/>
        <v>173</v>
      </c>
      <c r="Y66" s="16">
        <f t="shared" si="26"/>
        <v>180</v>
      </c>
      <c r="Z66" s="16">
        <f t="shared" si="26"/>
        <v>180</v>
      </c>
      <c r="AA66" s="25"/>
      <c r="AB66" s="25"/>
      <c r="AC66" s="25"/>
      <c r="AD66" s="25"/>
      <c r="AE66" s="25"/>
      <c r="AF66" s="25"/>
    </row>
    <row r="67" spans="2:35" ht="30">
      <c r="B67" s="13">
        <v>56</v>
      </c>
      <c r="C67" s="12" t="s">
        <v>82</v>
      </c>
      <c r="D67" s="7" t="s">
        <v>78</v>
      </c>
      <c r="E67" s="3"/>
      <c r="F67" s="3"/>
      <c r="G67" s="3"/>
      <c r="H67" s="3"/>
      <c r="I67" s="3"/>
      <c r="J67" s="5"/>
      <c r="K67" s="5"/>
      <c r="L67" s="11">
        <f>L66/L61*1000</f>
        <v>-0.95302163919721938</v>
      </c>
      <c r="M67" s="11">
        <v>1.7</v>
      </c>
      <c r="N67" s="11">
        <f t="shared" ref="N67:Z67" si="27">N66/N61*1000</f>
        <v>0.45650867008113849</v>
      </c>
      <c r="O67" s="11">
        <f t="shared" si="27"/>
        <v>0.65568887102446605</v>
      </c>
      <c r="P67" s="11">
        <f t="shared" si="27"/>
        <v>0.98123512400691937</v>
      </c>
      <c r="Q67" s="11">
        <f t="shared" si="27"/>
        <v>1.3616397243702931</v>
      </c>
      <c r="R67" s="11">
        <f t="shared" si="27"/>
        <v>2.3190283313102236</v>
      </c>
      <c r="S67" s="11">
        <f t="shared" si="27"/>
        <v>2.9811688391255049</v>
      </c>
      <c r="T67" s="11">
        <f t="shared" si="27"/>
        <v>3.6618200394935689</v>
      </c>
      <c r="U67" s="11">
        <f t="shared" si="27"/>
        <v>3.9040962393761434</v>
      </c>
      <c r="V67" s="11">
        <f t="shared" si="27"/>
        <v>4.2275801414269614</v>
      </c>
      <c r="W67" s="11">
        <f t="shared" si="27"/>
        <v>4.5449113724595511</v>
      </c>
      <c r="X67" s="11">
        <f t="shared" si="27"/>
        <v>4.8807727602873054</v>
      </c>
      <c r="Y67" s="11">
        <f t="shared" si="27"/>
        <v>5.0402933886097951</v>
      </c>
      <c r="Z67" s="11">
        <f t="shared" si="27"/>
        <v>5.0009436732950032</v>
      </c>
      <c r="AA67" s="25"/>
      <c r="AB67" s="25"/>
      <c r="AC67" s="25"/>
      <c r="AD67" s="25"/>
      <c r="AE67" s="25"/>
      <c r="AF67" s="25"/>
    </row>
    <row r="68" spans="2:35" ht="21" customHeight="1">
      <c r="B68" s="5">
        <v>57</v>
      </c>
      <c r="C68" s="12" t="s">
        <v>83</v>
      </c>
      <c r="D68" s="7" t="s">
        <v>72</v>
      </c>
      <c r="E68" s="3" t="s">
        <v>14</v>
      </c>
      <c r="F68" s="3"/>
      <c r="G68" s="3"/>
      <c r="H68" s="3" t="s">
        <v>14</v>
      </c>
      <c r="I68" s="3"/>
      <c r="J68" s="5"/>
      <c r="K68" s="5"/>
      <c r="L68" s="16">
        <v>1079</v>
      </c>
      <c r="M68" s="16">
        <v>982</v>
      </c>
      <c r="N68" s="16">
        <f t="shared" ref="N68" si="28">M68*0.9944</f>
        <v>976.50079999999991</v>
      </c>
      <c r="O68" s="16">
        <v>960.9</v>
      </c>
      <c r="P68" s="16">
        <f t="shared" si="24"/>
        <v>955.42286999999999</v>
      </c>
      <c r="Q68" s="16">
        <v>1020</v>
      </c>
      <c r="R68" s="16">
        <v>1175</v>
      </c>
      <c r="S68" s="16">
        <v>1120</v>
      </c>
      <c r="T68" s="16">
        <v>1160</v>
      </c>
      <c r="U68" s="16">
        <v>1175</v>
      </c>
      <c r="V68" s="16">
        <v>1187</v>
      </c>
      <c r="W68" s="16">
        <v>1210</v>
      </c>
      <c r="X68" s="16">
        <v>1230</v>
      </c>
      <c r="Y68" s="16">
        <v>1145</v>
      </c>
      <c r="Z68" s="16">
        <v>1160</v>
      </c>
      <c r="AA68" s="25"/>
      <c r="AB68" s="25"/>
      <c r="AC68" s="25"/>
      <c r="AD68" s="25"/>
      <c r="AE68" s="25"/>
      <c r="AF68" s="25"/>
    </row>
    <row r="69" spans="2:35" ht="19.5" customHeight="1">
      <c r="B69" s="13">
        <v>58</v>
      </c>
      <c r="C69" s="12" t="s">
        <v>84</v>
      </c>
      <c r="D69" s="7" t="s">
        <v>72</v>
      </c>
      <c r="E69" s="3"/>
      <c r="F69" s="3"/>
      <c r="G69" s="3"/>
      <c r="H69" s="3" t="s">
        <v>14</v>
      </c>
      <c r="I69" s="3"/>
      <c r="J69" s="5"/>
      <c r="K69" s="5"/>
      <c r="L69" s="16">
        <v>1374</v>
      </c>
      <c r="M69" s="16">
        <v>1346</v>
      </c>
      <c r="N69" s="16">
        <v>1200</v>
      </c>
      <c r="O69" s="16">
        <f t="shared" si="24"/>
        <v>1193.1599999999999</v>
      </c>
      <c r="P69" s="16">
        <f t="shared" si="24"/>
        <v>1186.3589879999997</v>
      </c>
      <c r="Q69" s="16">
        <v>1200</v>
      </c>
      <c r="R69" s="16">
        <v>1275</v>
      </c>
      <c r="S69" s="16">
        <v>1170</v>
      </c>
      <c r="T69" s="16">
        <v>1155</v>
      </c>
      <c r="U69" s="16">
        <v>1158</v>
      </c>
      <c r="V69" s="16">
        <v>1162</v>
      </c>
      <c r="W69" s="16">
        <v>1174</v>
      </c>
      <c r="X69" s="16">
        <v>1162</v>
      </c>
      <c r="Y69" s="16">
        <v>1058</v>
      </c>
      <c r="Z69" s="16">
        <v>1059</v>
      </c>
      <c r="AA69" s="23"/>
    </row>
    <row r="70" spans="2:35" ht="25.5" customHeight="1">
      <c r="B70" s="5">
        <v>59</v>
      </c>
      <c r="C70" s="12" t="s">
        <v>85</v>
      </c>
      <c r="D70" s="7" t="s">
        <v>78</v>
      </c>
      <c r="E70" s="3"/>
      <c r="F70" s="3"/>
      <c r="G70" s="3"/>
      <c r="H70" s="3"/>
      <c r="I70" s="3"/>
      <c r="J70" s="5"/>
      <c r="K70" s="5"/>
      <c r="L70" s="16">
        <f>L68-L69</f>
        <v>-295</v>
      </c>
      <c r="M70" s="16">
        <f t="shared" ref="M70:Z70" si="29">M68-M69</f>
        <v>-364</v>
      </c>
      <c r="N70" s="16">
        <f t="shared" si="29"/>
        <v>-223.49920000000009</v>
      </c>
      <c r="O70" s="16">
        <f t="shared" si="29"/>
        <v>-232.25999999999988</v>
      </c>
      <c r="P70" s="16">
        <f t="shared" si="29"/>
        <v>-230.93611799999974</v>
      </c>
      <c r="Q70" s="16">
        <f t="shared" si="29"/>
        <v>-180</v>
      </c>
      <c r="R70" s="16">
        <f t="shared" si="29"/>
        <v>-100</v>
      </c>
      <c r="S70" s="16">
        <f t="shared" si="29"/>
        <v>-50</v>
      </c>
      <c r="T70" s="16">
        <f t="shared" si="29"/>
        <v>5</v>
      </c>
      <c r="U70" s="16">
        <f t="shared" si="29"/>
        <v>17</v>
      </c>
      <c r="V70" s="16">
        <f t="shared" si="29"/>
        <v>25</v>
      </c>
      <c r="W70" s="16">
        <f t="shared" si="29"/>
        <v>36</v>
      </c>
      <c r="X70" s="16">
        <f t="shared" si="29"/>
        <v>68</v>
      </c>
      <c r="Y70" s="16">
        <f t="shared" si="29"/>
        <v>87</v>
      </c>
      <c r="Z70" s="16">
        <f t="shared" si="29"/>
        <v>101</v>
      </c>
      <c r="AA70" s="23"/>
    </row>
    <row r="71" spans="2:35" ht="34.5" customHeight="1">
      <c r="B71" s="13">
        <v>60</v>
      </c>
      <c r="C71" s="12" t="s">
        <v>82</v>
      </c>
      <c r="D71" s="7"/>
      <c r="E71" s="3"/>
      <c r="F71" s="3"/>
      <c r="G71" s="3"/>
      <c r="H71" s="3"/>
      <c r="I71" s="3"/>
      <c r="J71" s="5"/>
      <c r="K71" s="5"/>
      <c r="L71" s="11">
        <v>-8.1999999999999993</v>
      </c>
      <c r="M71" s="11">
        <f t="shared" ref="M71:Z71" si="30">M70/M61*1000</f>
        <v>-10.327413039777564</v>
      </c>
      <c r="N71" s="11">
        <f t="shared" si="30"/>
        <v>-6.3768326597624014</v>
      </c>
      <c r="O71" s="11">
        <f t="shared" si="30"/>
        <v>-6.664783246570777</v>
      </c>
      <c r="P71" s="11">
        <f t="shared" si="30"/>
        <v>-6.6647832465707726</v>
      </c>
      <c r="Q71" s="11">
        <f t="shared" si="30"/>
        <v>-5.2147904337585693</v>
      </c>
      <c r="R71" s="11">
        <f t="shared" si="30"/>
        <v>-2.8987854141377793</v>
      </c>
      <c r="S71" s="11">
        <f t="shared" si="30"/>
        <v>-1.447169339381313</v>
      </c>
      <c r="T71" s="11">
        <f t="shared" si="30"/>
        <v>0.14416614328714838</v>
      </c>
      <c r="U71" s="11">
        <f t="shared" si="30"/>
        <v>0.48801202992201792</v>
      </c>
      <c r="V71" s="11">
        <f t="shared" si="30"/>
        <v>0.71411826713293258</v>
      </c>
      <c r="W71" s="11">
        <f t="shared" si="30"/>
        <v>1.0226050588033992</v>
      </c>
      <c r="X71" s="11">
        <f t="shared" si="30"/>
        <v>1.9184540329452993</v>
      </c>
      <c r="Y71" s="11">
        <f t="shared" si="30"/>
        <v>2.4361418044947345</v>
      </c>
      <c r="Z71" s="11">
        <f t="shared" si="30"/>
        <v>2.8060850611266406</v>
      </c>
      <c r="AA71" s="23"/>
    </row>
    <row r="72" spans="2:35" ht="39.75" customHeight="1">
      <c r="B72" s="5">
        <v>61</v>
      </c>
      <c r="C72" s="12" t="s">
        <v>86</v>
      </c>
      <c r="D72" s="7" t="s">
        <v>87</v>
      </c>
      <c r="E72" s="3"/>
      <c r="F72" s="3"/>
      <c r="G72" s="3"/>
      <c r="H72" s="3"/>
      <c r="I72" s="3"/>
      <c r="J72" s="5"/>
      <c r="K72" s="5"/>
      <c r="L72" s="16">
        <v>68</v>
      </c>
      <c r="M72" s="16">
        <v>68</v>
      </c>
      <c r="N72" s="16">
        <v>68</v>
      </c>
      <c r="O72" s="16">
        <v>69</v>
      </c>
      <c r="P72" s="16">
        <v>69</v>
      </c>
      <c r="Q72" s="16">
        <v>70</v>
      </c>
      <c r="R72" s="16">
        <v>70</v>
      </c>
      <c r="S72" s="16">
        <v>71</v>
      </c>
      <c r="T72" s="16">
        <v>71</v>
      </c>
      <c r="U72" s="16">
        <v>72</v>
      </c>
      <c r="V72" s="16">
        <v>72</v>
      </c>
      <c r="W72" s="16">
        <v>73</v>
      </c>
      <c r="X72" s="16">
        <v>73</v>
      </c>
      <c r="Y72" s="16">
        <f t="shared" ref="X72:Y72" si="31">X72*1.0085</f>
        <v>73.620499999999993</v>
      </c>
      <c r="Z72" s="16">
        <v>75</v>
      </c>
    </row>
    <row r="73" spans="2:35" ht="49.5" customHeight="1">
      <c r="B73" s="13">
        <v>62</v>
      </c>
      <c r="C73" s="6" t="s">
        <v>88</v>
      </c>
      <c r="D73" s="13" t="s">
        <v>72</v>
      </c>
      <c r="E73" s="5"/>
      <c r="F73" s="5"/>
      <c r="G73" s="5"/>
      <c r="H73" s="5"/>
      <c r="I73" s="5"/>
      <c r="J73" s="5"/>
      <c r="K73" s="5" t="s">
        <v>14</v>
      </c>
      <c r="L73" s="17">
        <v>260</v>
      </c>
      <c r="M73" s="17">
        <v>270</v>
      </c>
      <c r="N73" s="17">
        <v>280</v>
      </c>
      <c r="O73" s="17">
        <v>290</v>
      </c>
      <c r="P73" s="17">
        <v>300</v>
      </c>
      <c r="Q73" s="17">
        <v>310</v>
      </c>
      <c r="R73" s="17">
        <v>320</v>
      </c>
      <c r="S73" s="17">
        <v>330</v>
      </c>
      <c r="T73" s="17">
        <v>340</v>
      </c>
      <c r="U73" s="17">
        <v>350</v>
      </c>
      <c r="V73" s="17">
        <v>360</v>
      </c>
      <c r="W73" s="17">
        <v>370</v>
      </c>
      <c r="X73" s="17">
        <v>380</v>
      </c>
      <c r="Y73" s="17">
        <v>390</v>
      </c>
      <c r="Z73" s="17">
        <v>400</v>
      </c>
    </row>
    <row r="74" spans="2:35" ht="51" customHeight="1">
      <c r="B74" s="5">
        <v>63</v>
      </c>
      <c r="C74" s="12" t="s">
        <v>89</v>
      </c>
      <c r="D74" s="5" t="s">
        <v>19</v>
      </c>
      <c r="E74" s="5"/>
      <c r="F74" s="5"/>
      <c r="G74" s="5"/>
      <c r="H74" s="5"/>
      <c r="I74" s="5"/>
      <c r="J74" s="5"/>
      <c r="K74" s="5" t="s">
        <v>14</v>
      </c>
      <c r="L74" s="17">
        <v>10</v>
      </c>
      <c r="M74" s="17">
        <v>9</v>
      </c>
      <c r="N74" s="17">
        <v>17</v>
      </c>
      <c r="O74" s="17">
        <v>15</v>
      </c>
      <c r="P74" s="17">
        <v>16</v>
      </c>
      <c r="Q74" s="17">
        <v>14</v>
      </c>
      <c r="R74" s="17">
        <v>15</v>
      </c>
      <c r="S74" s="17">
        <v>15</v>
      </c>
      <c r="T74" s="17">
        <v>14</v>
      </c>
      <c r="U74" s="17">
        <v>15</v>
      </c>
      <c r="V74" s="17">
        <v>15</v>
      </c>
      <c r="W74" s="17">
        <v>15</v>
      </c>
      <c r="X74" s="17">
        <v>16</v>
      </c>
      <c r="Y74" s="17">
        <v>15</v>
      </c>
      <c r="Z74" s="17">
        <v>15</v>
      </c>
    </row>
    <row r="75" spans="2:35" ht="33.75" customHeight="1">
      <c r="B75" s="13">
        <v>64</v>
      </c>
      <c r="C75" s="6" t="s">
        <v>90</v>
      </c>
      <c r="D75" s="13" t="s">
        <v>91</v>
      </c>
      <c r="E75" s="5"/>
      <c r="F75" s="5"/>
      <c r="G75" s="5"/>
      <c r="H75" s="5"/>
      <c r="I75" s="5"/>
      <c r="J75" s="5"/>
      <c r="K75" s="5" t="s">
        <v>14</v>
      </c>
      <c r="L75" s="11">
        <v>2.5</v>
      </c>
      <c r="M75" s="16">
        <v>0</v>
      </c>
      <c r="N75" s="11">
        <v>2.16</v>
      </c>
      <c r="O75" s="11">
        <v>2.722</v>
      </c>
      <c r="P75" s="11">
        <v>2.72</v>
      </c>
      <c r="Q75" s="11">
        <v>2.86</v>
      </c>
      <c r="R75" s="11">
        <v>3.63</v>
      </c>
      <c r="S75" s="11">
        <v>1.81</v>
      </c>
      <c r="T75" s="11">
        <v>1.4059999999999999</v>
      </c>
      <c r="U75" s="11">
        <f>T75*1.07</f>
        <v>1.5044200000000001</v>
      </c>
      <c r="V75" s="11">
        <f>U75*1.06</f>
        <v>1.5946852000000002</v>
      </c>
      <c r="W75" s="11">
        <f>V75*1.06</f>
        <v>1.6903663120000003</v>
      </c>
      <c r="X75" s="11">
        <f>W75*1.05</f>
        <v>1.7748846276000003</v>
      </c>
      <c r="Y75" s="11">
        <f t="shared" ref="Y75" si="32">X75*1.07</f>
        <v>1.8991265515320004</v>
      </c>
      <c r="Z75" s="11">
        <f>Y75*1.08</f>
        <v>2.0510566756545607</v>
      </c>
    </row>
    <row r="76" spans="2:35" ht="37.5" customHeight="1">
      <c r="B76" s="5">
        <v>65</v>
      </c>
      <c r="C76" s="6" t="s">
        <v>92</v>
      </c>
      <c r="D76" s="5" t="s">
        <v>91</v>
      </c>
      <c r="E76" s="5"/>
      <c r="F76" s="5"/>
      <c r="G76" s="5"/>
      <c r="H76" s="5"/>
      <c r="I76" s="5"/>
      <c r="J76" s="5"/>
      <c r="K76" s="5"/>
      <c r="L76" s="11">
        <v>5.55</v>
      </c>
      <c r="M76" s="11">
        <f>2.932+0.2</f>
        <v>3.1320000000000001</v>
      </c>
      <c r="N76" s="11">
        <v>3.1</v>
      </c>
      <c r="O76" s="11">
        <v>3</v>
      </c>
      <c r="P76" s="11">
        <v>3.1</v>
      </c>
      <c r="Q76" s="11">
        <v>3.1</v>
      </c>
      <c r="R76" s="11">
        <v>3.2</v>
      </c>
      <c r="S76" s="11">
        <v>3.2</v>
      </c>
      <c r="T76" s="11">
        <v>3.3</v>
      </c>
      <c r="U76" s="11">
        <v>3.3</v>
      </c>
      <c r="V76" s="11">
        <v>3.4</v>
      </c>
      <c r="W76" s="11">
        <v>3.4</v>
      </c>
      <c r="X76" s="11">
        <v>3.5</v>
      </c>
      <c r="Y76" s="11">
        <v>3.5</v>
      </c>
      <c r="Z76" s="11">
        <v>3.6</v>
      </c>
    </row>
    <row r="77" spans="2:35" ht="91.5" customHeight="1">
      <c r="B77" s="13">
        <v>66</v>
      </c>
      <c r="C77" s="6" t="s">
        <v>93</v>
      </c>
      <c r="D77" s="5" t="s">
        <v>27</v>
      </c>
      <c r="E77" s="5"/>
      <c r="F77" s="5"/>
      <c r="G77" s="5" t="s">
        <v>94</v>
      </c>
      <c r="H77" s="5"/>
      <c r="I77" s="5" t="s">
        <v>14</v>
      </c>
      <c r="J77" s="5"/>
      <c r="K77" s="5"/>
      <c r="L77" s="11">
        <v>58.6</v>
      </c>
      <c r="M77" s="11">
        <v>57.9</v>
      </c>
      <c r="N77" s="11">
        <v>57.2</v>
      </c>
      <c r="O77" s="11">
        <v>56.6</v>
      </c>
      <c r="P77" s="11">
        <v>55.9</v>
      </c>
      <c r="Q77" s="11">
        <f>P77*0.9276</f>
        <v>51.85284</v>
      </c>
      <c r="R77" s="11">
        <f>Q77*0.901</f>
        <v>46.71940884</v>
      </c>
      <c r="S77" s="11">
        <f>R77*0.9639</f>
        <v>45.032838180875999</v>
      </c>
      <c r="T77" s="11">
        <f>S77*0.9839</f>
        <v>44.307809486163897</v>
      </c>
      <c r="U77" s="11">
        <f>T77*0.9953</f>
        <v>44.099562781578925</v>
      </c>
      <c r="V77" s="11">
        <f>U77*0.989653</f>
        <v>43.643264605477931</v>
      </c>
      <c r="W77" s="11">
        <f>V77*0.987</f>
        <v>43.07590216560672</v>
      </c>
      <c r="X77" s="11">
        <f>W77*0.986</f>
        <v>42.472839535288223</v>
      </c>
      <c r="Y77" s="11">
        <f>X77*0.9798</f>
        <v>41.6148881766754</v>
      </c>
      <c r="Z77" s="11">
        <f t="shared" ref="Z77" si="33">Y77*0.9876</f>
        <v>41.098863563284624</v>
      </c>
    </row>
    <row r="78" spans="2:35" ht="35.25" customHeight="1">
      <c r="B78" s="5">
        <v>67</v>
      </c>
      <c r="C78" s="26" t="s">
        <v>95</v>
      </c>
      <c r="D78" s="5" t="s">
        <v>96</v>
      </c>
      <c r="E78" s="5"/>
      <c r="F78" s="5"/>
      <c r="G78" s="5"/>
      <c r="H78" s="5"/>
      <c r="I78" s="5"/>
      <c r="J78" s="5"/>
      <c r="K78" s="5"/>
      <c r="L78" s="11">
        <v>210.7</v>
      </c>
      <c r="M78" s="11">
        <v>226.8</v>
      </c>
      <c r="N78" s="11">
        <v>226.8</v>
      </c>
      <c r="O78" s="11">
        <v>229.2</v>
      </c>
      <c r="P78" s="11">
        <v>240.37</v>
      </c>
      <c r="Q78" s="11">
        <v>248.37</v>
      </c>
      <c r="R78" s="11">
        <v>248.37</v>
      </c>
      <c r="S78" s="11">
        <f>R78+0.864</f>
        <v>249.23400000000001</v>
      </c>
      <c r="T78" s="11">
        <v>249.2</v>
      </c>
      <c r="U78" s="11">
        <f t="shared" ref="U78:V78" si="34">T78*1.03</f>
        <v>256.67599999999999</v>
      </c>
      <c r="V78" s="11">
        <f t="shared" si="34"/>
        <v>264.37628000000001</v>
      </c>
      <c r="W78" s="11">
        <f>V78*1.0423</f>
        <v>275.559396644</v>
      </c>
      <c r="X78" s="11">
        <f>W78*1.03324</f>
        <v>284.71899098844654</v>
      </c>
      <c r="Y78" s="11">
        <f>X78*1.0215</f>
        <v>290.84044929469815</v>
      </c>
      <c r="Z78" s="11">
        <f>Y78*1.0247</f>
        <v>298.02420839227716</v>
      </c>
      <c r="AE78" s="24"/>
      <c r="AF78" s="24"/>
      <c r="AG78" s="24"/>
      <c r="AH78" s="24"/>
      <c r="AI78" s="24"/>
    </row>
    <row r="79" spans="2:35" ht="36.75" customHeight="1">
      <c r="B79" s="13">
        <v>68</v>
      </c>
      <c r="C79" s="26" t="s">
        <v>97</v>
      </c>
      <c r="D79" s="5" t="s">
        <v>96</v>
      </c>
      <c r="E79" s="5"/>
      <c r="F79" s="5"/>
      <c r="G79" s="5"/>
      <c r="H79" s="5"/>
      <c r="I79" s="5"/>
      <c r="J79" s="5"/>
      <c r="K79" s="5"/>
      <c r="L79" s="17">
        <v>211.1</v>
      </c>
      <c r="M79" s="17">
        <v>214</v>
      </c>
      <c r="N79" s="17">
        <f>M79+17</f>
        <v>231</v>
      </c>
      <c r="O79" s="17">
        <f>N79+19.3</f>
        <v>250.3</v>
      </c>
      <c r="P79" s="17">
        <f>O79+3</f>
        <v>253.3</v>
      </c>
      <c r="Q79" s="17">
        <f>P79+3.8</f>
        <v>257.10000000000002</v>
      </c>
      <c r="R79" s="17">
        <f>Q79</f>
        <v>257.10000000000002</v>
      </c>
      <c r="S79" s="17">
        <f>R79</f>
        <v>257.10000000000002</v>
      </c>
      <c r="T79" s="17">
        <f>S79+1.5</f>
        <v>258.60000000000002</v>
      </c>
      <c r="U79" s="11">
        <f>T79</f>
        <v>258.60000000000002</v>
      </c>
      <c r="V79" s="11">
        <f>U79*1.0222</f>
        <v>264.34092000000004</v>
      </c>
      <c r="W79" s="11">
        <f>V79*1.0181</f>
        <v>269.12549065200005</v>
      </c>
      <c r="X79" s="11">
        <f>W79*1.042</f>
        <v>280.42876125938409</v>
      </c>
      <c r="Y79" s="11">
        <f>X79*1.0293</f>
        <v>288.64532396428405</v>
      </c>
      <c r="Z79" s="11">
        <f>Y79*1.112</f>
        <v>320.9736002482839</v>
      </c>
    </row>
    <row r="80" spans="2:35" ht="21.75" customHeight="1">
      <c r="B80" s="5">
        <v>69</v>
      </c>
      <c r="C80" s="27" t="s">
        <v>98</v>
      </c>
      <c r="D80" s="5" t="s">
        <v>19</v>
      </c>
      <c r="E80" s="5"/>
      <c r="F80" s="5"/>
      <c r="G80" s="5"/>
      <c r="H80" s="5"/>
      <c r="I80" s="5"/>
      <c r="J80" s="5"/>
      <c r="K80" s="5"/>
      <c r="L80" s="17">
        <v>29</v>
      </c>
      <c r="M80" s="17">
        <v>27</v>
      </c>
      <c r="N80" s="17">
        <v>27</v>
      </c>
      <c r="O80" s="17">
        <v>27</v>
      </c>
      <c r="P80" s="17">
        <v>27</v>
      </c>
      <c r="Q80" s="17">
        <v>27</v>
      </c>
      <c r="R80" s="17">
        <v>27</v>
      </c>
      <c r="S80" s="17">
        <v>27</v>
      </c>
      <c r="T80" s="17">
        <v>27</v>
      </c>
      <c r="U80" s="17">
        <v>27</v>
      </c>
      <c r="V80" s="17">
        <v>28</v>
      </c>
      <c r="W80" s="17">
        <v>28</v>
      </c>
      <c r="X80" s="17">
        <v>29</v>
      </c>
      <c r="Y80" s="17">
        <v>30</v>
      </c>
      <c r="Z80" s="17">
        <v>30</v>
      </c>
    </row>
    <row r="81" spans="2:26" ht="33" customHeight="1">
      <c r="B81" s="13">
        <v>70</v>
      </c>
      <c r="C81" s="26" t="s">
        <v>111</v>
      </c>
      <c r="D81" s="5" t="s">
        <v>96</v>
      </c>
      <c r="E81" s="5"/>
      <c r="F81" s="5"/>
      <c r="G81" s="5"/>
      <c r="H81" s="5"/>
      <c r="I81" s="5"/>
      <c r="J81" s="5"/>
      <c r="K81" s="5"/>
      <c r="L81" s="18">
        <v>2</v>
      </c>
      <c r="M81" s="18">
        <v>0.18</v>
      </c>
      <c r="N81" s="18">
        <v>5.1999999999999998E-2</v>
      </c>
      <c r="O81" s="18">
        <v>6.7000000000000004E-2</v>
      </c>
      <c r="P81" s="18">
        <v>9.5000000000000001E-2</v>
      </c>
      <c r="Q81" s="18">
        <v>0.14699999999999999</v>
      </c>
      <c r="R81" s="18">
        <v>0.14699999999999999</v>
      </c>
      <c r="S81" s="18">
        <v>0.13</v>
      </c>
      <c r="T81" s="18">
        <v>9.5000000000000001E-2</v>
      </c>
      <c r="U81" s="18">
        <v>0.155</v>
      </c>
      <c r="V81" s="18">
        <v>0.112</v>
      </c>
      <c r="W81" s="18">
        <v>0.11375</v>
      </c>
      <c r="X81" s="18">
        <v>0.11375</v>
      </c>
      <c r="Y81" s="18">
        <v>0.11375</v>
      </c>
      <c r="Z81" s="18">
        <v>0.11375</v>
      </c>
    </row>
    <row r="82" spans="2:26" ht="33" customHeight="1">
      <c r="B82" s="48" t="s">
        <v>99</v>
      </c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</row>
    <row r="83" spans="2:26" ht="30">
      <c r="B83" s="13">
        <v>71</v>
      </c>
      <c r="C83" s="26" t="s">
        <v>100</v>
      </c>
      <c r="D83" s="5" t="s">
        <v>13</v>
      </c>
      <c r="E83" s="5"/>
      <c r="F83" s="5"/>
      <c r="G83" s="5"/>
      <c r="H83" s="5"/>
      <c r="I83" s="5"/>
      <c r="J83" s="5"/>
      <c r="K83" s="5"/>
      <c r="L83" s="29">
        <v>776.3</v>
      </c>
      <c r="M83" s="29">
        <v>758</v>
      </c>
      <c r="N83" s="11">
        <v>937.8</v>
      </c>
      <c r="O83" s="11">
        <v>811.4</v>
      </c>
      <c r="P83" s="11">
        <v>856.2</v>
      </c>
      <c r="Q83" s="11">
        <v>895.4</v>
      </c>
      <c r="R83" s="11">
        <v>929.9</v>
      </c>
      <c r="S83" s="11">
        <f>R83*1.0458</f>
        <v>972.48942</v>
      </c>
      <c r="T83" s="11">
        <f>M83*1.34</f>
        <v>1015.72</v>
      </c>
      <c r="U83" s="11">
        <f>T83*1.08956</f>
        <v>1106.6878832000002</v>
      </c>
      <c r="V83" s="11">
        <f>U83*1.016</f>
        <v>1124.3948893312001</v>
      </c>
      <c r="W83" s="11">
        <f>V83*1.01933</f>
        <v>1146.1294425419724</v>
      </c>
      <c r="X83" s="11">
        <f>W83*1.0211</f>
        <v>1170.3127737796078</v>
      </c>
      <c r="Y83" s="11">
        <f>X83*1.0485</f>
        <v>1227.0729433079189</v>
      </c>
      <c r="Z83" s="11">
        <f>Y83*1.056</f>
        <v>1295.7890281331624</v>
      </c>
    </row>
    <row r="84" spans="2:26" ht="30">
      <c r="B84" s="13">
        <v>72</v>
      </c>
      <c r="C84" s="26" t="s">
        <v>101</v>
      </c>
      <c r="D84" s="5" t="s">
        <v>13</v>
      </c>
      <c r="E84" s="5"/>
      <c r="F84" s="5"/>
      <c r="G84" s="5"/>
      <c r="H84" s="5"/>
      <c r="I84" s="5"/>
      <c r="J84" s="5"/>
      <c r="K84" s="5"/>
      <c r="L84" s="29">
        <v>269.7</v>
      </c>
      <c r="M84" s="29">
        <v>211.1</v>
      </c>
      <c r="N84" s="11">
        <v>289.2</v>
      </c>
      <c r="O84" s="11">
        <v>297.3</v>
      </c>
      <c r="P84" s="11">
        <v>307.10000000000002</v>
      </c>
      <c r="Q84" s="11">
        <v>288.60000000000002</v>
      </c>
      <c r="R84" s="11">
        <v>330</v>
      </c>
      <c r="S84" s="11">
        <f>R84+6.082+5.508</f>
        <v>341.59</v>
      </c>
      <c r="T84" s="11">
        <f>S84+7.2+6.138</f>
        <v>354.92799999999994</v>
      </c>
      <c r="U84" s="11">
        <f>T84*1.05305</f>
        <v>373.75693039999993</v>
      </c>
      <c r="V84" s="11">
        <f>U84*1.034</f>
        <v>386.46466603359994</v>
      </c>
      <c r="W84" s="11">
        <f>V84*1.04</f>
        <v>401.92325267494397</v>
      </c>
      <c r="X84" s="11">
        <f>W84*1.03</f>
        <v>413.98095025519228</v>
      </c>
      <c r="Y84" s="11">
        <f>X84*1.05</f>
        <v>434.67999776795193</v>
      </c>
      <c r="Z84" s="11">
        <v>458.49</v>
      </c>
    </row>
    <row r="85" spans="2:26" ht="35.25" customHeight="1">
      <c r="B85" s="13">
        <v>73</v>
      </c>
      <c r="C85" s="30" t="s">
        <v>102</v>
      </c>
      <c r="D85" s="5" t="s">
        <v>27</v>
      </c>
      <c r="E85" s="5"/>
      <c r="F85" s="5"/>
      <c r="G85" s="5"/>
      <c r="H85" s="5"/>
      <c r="I85" s="5"/>
      <c r="J85" s="5"/>
      <c r="K85" s="5"/>
      <c r="L85" s="29">
        <f t="shared" ref="L85:Z85" si="35">L84/L83*100</f>
        <v>34.741723560479201</v>
      </c>
      <c r="M85" s="29">
        <f t="shared" si="35"/>
        <v>27.849604221635882</v>
      </c>
      <c r="N85" s="29">
        <f t="shared" si="35"/>
        <v>30.838131797824698</v>
      </c>
      <c r="O85" s="29">
        <f t="shared" si="35"/>
        <v>36.640374661079619</v>
      </c>
      <c r="P85" s="29">
        <f t="shared" si="35"/>
        <v>35.867787900023359</v>
      </c>
      <c r="Q85" s="29">
        <f t="shared" si="35"/>
        <v>32.231404958677686</v>
      </c>
      <c r="R85" s="29">
        <f t="shared" si="35"/>
        <v>35.487686848048178</v>
      </c>
      <c r="S85" s="29">
        <f t="shared" si="35"/>
        <v>35.125317867211344</v>
      </c>
      <c r="T85" s="29">
        <f t="shared" si="35"/>
        <v>34.943488362934659</v>
      </c>
      <c r="U85" s="29">
        <f t="shared" si="35"/>
        <v>33.772569129362623</v>
      </c>
      <c r="V85" s="29">
        <f t="shared" si="35"/>
        <v>34.370902047008812</v>
      </c>
      <c r="W85" s="29">
        <f t="shared" si="35"/>
        <v>35.067876084181925</v>
      </c>
      <c r="X85" s="29">
        <f t="shared" si="35"/>
        <v>35.373530865446469</v>
      </c>
      <c r="Y85" s="29">
        <f t="shared" si="35"/>
        <v>35.42413677512522</v>
      </c>
      <c r="Z85" s="29">
        <f t="shared" si="35"/>
        <v>35.383074717073697</v>
      </c>
    </row>
    <row r="86" spans="2:26" ht="67.5" customHeight="1">
      <c r="B86" s="28">
        <v>74</v>
      </c>
      <c r="C86" s="4" t="s">
        <v>103</v>
      </c>
      <c r="D86" s="5" t="s">
        <v>27</v>
      </c>
      <c r="E86" s="4"/>
      <c r="F86" s="4"/>
      <c r="G86" s="4"/>
      <c r="H86" s="4"/>
      <c r="I86" s="4" t="s">
        <v>14</v>
      </c>
      <c r="J86" s="4"/>
      <c r="K86" s="4"/>
      <c r="L86" s="20">
        <v>52</v>
      </c>
      <c r="M86" s="20">
        <v>52</v>
      </c>
      <c r="N86" s="20">
        <v>53</v>
      </c>
      <c r="O86" s="20">
        <v>54</v>
      </c>
      <c r="P86" s="20">
        <v>55</v>
      </c>
      <c r="Q86" s="20">
        <f>1.01852*P86</f>
        <v>56.018600000000006</v>
      </c>
      <c r="R86" s="20">
        <f>Q86*1.019</f>
        <v>57.082953400000001</v>
      </c>
      <c r="S86" s="20">
        <f>R86*1.0192</f>
        <v>58.178946105280005</v>
      </c>
      <c r="T86" s="20">
        <f>S86*1.0196</f>
        <v>59.319253448943499</v>
      </c>
      <c r="U86" s="20">
        <f>T86*1.0199</f>
        <v>60.499706592577475</v>
      </c>
      <c r="V86" s="20">
        <f>U86*1.0203</f>
        <v>61.727850636406799</v>
      </c>
      <c r="W86" s="20">
        <f>V86*1.0211</f>
        <v>63.030308284834973</v>
      </c>
      <c r="X86" s="20">
        <f>W86*1.03</f>
        <v>64.92121753338003</v>
      </c>
      <c r="Y86" s="20">
        <f>X86*1.012</f>
        <v>65.700272143780595</v>
      </c>
      <c r="Z86" s="20">
        <f t="shared" ref="Z86" si="36">Y86*1.0203</f>
        <v>67.033987668299346</v>
      </c>
    </row>
    <row r="88" spans="2:26">
      <c r="Q88" s="24"/>
      <c r="R88" s="24"/>
      <c r="S88" s="24"/>
      <c r="T88" s="24"/>
      <c r="U88" s="24"/>
    </row>
  </sheetData>
  <mergeCells count="30">
    <mergeCell ref="B82:Z82"/>
    <mergeCell ref="Z8:Z9"/>
    <mergeCell ref="B10:Z10"/>
    <mergeCell ref="B32:Z32"/>
    <mergeCell ref="T8:T9"/>
    <mergeCell ref="U8:U9"/>
    <mergeCell ref="V8:V9"/>
    <mergeCell ref="W8:W9"/>
    <mergeCell ref="X8:X9"/>
    <mergeCell ref="Y8:Y9"/>
    <mergeCell ref="K8:K9"/>
    <mergeCell ref="O8:O9"/>
    <mergeCell ref="P8:P9"/>
    <mergeCell ref="Q8:Q9"/>
    <mergeCell ref="R8:R9"/>
    <mergeCell ref="V4:Z4"/>
    <mergeCell ref="U3:Z3"/>
    <mergeCell ref="U2:Z2"/>
    <mergeCell ref="W1:Z1"/>
    <mergeCell ref="S8:S9"/>
    <mergeCell ref="B6:Z6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31496062992125984" right="0.31496062992125984" top="0.35433070866141736" bottom="0.35433070866141736" header="0" footer="0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2018-12-07T05:05:46Z</dcterms:modified>
</cp:coreProperties>
</file>